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Denne_projektmappe"/>
  <mc:AlternateContent xmlns:mc="http://schemas.openxmlformats.org/markup-compatibility/2006">
    <mc:Choice Requires="x15">
      <x15ac:absPath xmlns:x15ac="http://schemas.microsoft.com/office/spreadsheetml/2010/11/ac" url="D:\Elting\Produkt\Turnering\"/>
    </mc:Choice>
  </mc:AlternateContent>
  <xr:revisionPtr revIDLastSave="0" documentId="13_ncr:1_{4067076F-965B-49F2-83A3-729D98309F84}" xr6:coauthVersionLast="45" xr6:coauthVersionMax="45" xr10:uidLastSave="{00000000-0000-0000-0000-000000000000}"/>
  <bookViews>
    <workbookView xWindow="-108" yWindow="-108" windowWidth="30936" windowHeight="16896" tabRatio="728" xr2:uid="{00000000-000D-0000-FFFF-FFFF00000000}"/>
  </bookViews>
  <sheets>
    <sheet name="Tips" sheetId="4" r:id="rId1"/>
    <sheet name="Indstillinger" sheetId="13" r:id="rId2"/>
    <sheet name="Licens" sheetId="35" r:id="rId3"/>
    <sheet name="03x2" sheetId="51" r:id="rId4"/>
    <sheet name="04x1" sheetId="45" r:id="rId5"/>
    <sheet name="04x2" sheetId="46" r:id="rId6"/>
    <sheet name="05x1" sheetId="53" r:id="rId7"/>
  </sheets>
  <definedNames>
    <definedName name="actRank" localSheetId="3">'03x2'!$M$3:$M$5</definedName>
    <definedName name="actRank" localSheetId="4">'04x1'!$M$3:$M$6</definedName>
    <definedName name="actRank" localSheetId="5">'04x2'!$M$3:$M$6</definedName>
    <definedName name="actRank" localSheetId="6">'05x1'!$M$3:$M$7</definedName>
    <definedName name="appName">"xlEasy Turnering"</definedName>
    <definedName name="appNameLong">"xlEasy Turnering 03x2, 04x1, 04x2, 05x1"</definedName>
    <definedName name="appVers">2003</definedName>
    <definedName name="goals1" localSheetId="3">'03x2'!$U$15:$U$20</definedName>
    <definedName name="goals1" localSheetId="4">'04x1'!$U$17:$U$22</definedName>
    <definedName name="goals1" localSheetId="5">'04x2'!$U$17:$U$28</definedName>
    <definedName name="goals1" localSheetId="6">'05x1'!$U$19:$U$28</definedName>
    <definedName name="goals2" localSheetId="3">'03x2'!$V$15:$V$20</definedName>
    <definedName name="goals2" localSheetId="4">'04x1'!$V$17:$V$22</definedName>
    <definedName name="goals2" localSheetId="5">'04x2'!$V$17:$V$28</definedName>
    <definedName name="goals2" localSheetId="6">'05x1'!$V$19:$V$28</definedName>
    <definedName name="HxA" localSheetId="3">'03x2'!$A$9:$D$12</definedName>
    <definedName name="HxA" localSheetId="4">'04x1'!$A$10:$E$14</definedName>
    <definedName name="HxA" localSheetId="5">'04x2'!$A$10:$E$14</definedName>
    <definedName name="HxA" localSheetId="6">'05x1'!$A$11:$F$16</definedName>
    <definedName name="HxH" localSheetId="3">'03x2'!$C$15:$C$20</definedName>
    <definedName name="HxH" localSheetId="4">'04x1'!$C$17:$C$22</definedName>
    <definedName name="HxH" localSheetId="5">'04x2'!$C$17:$C$28</definedName>
    <definedName name="HxH" localSheetId="6">'05x1'!$C$19:$C$28</definedName>
    <definedName name="iDato" localSheetId="3">'03x2'!$J$15:$K$24</definedName>
    <definedName name="iDato" localSheetId="4">'04x1'!$J$17:$K$26</definedName>
    <definedName name="iDato" localSheetId="5">'04x2'!$J$17:$K$32</definedName>
    <definedName name="iDato" localSheetId="6">'05x1'!$J$19:$K$32</definedName>
    <definedName name="mMin">Indstillinger!$D$1</definedName>
    <definedName name="PlaceCalc" localSheetId="3">'03x2'!$A$3:$M$5</definedName>
    <definedName name="PlaceCalc" localSheetId="4">'04x1'!$A$3:$M$6</definedName>
    <definedName name="PlaceCalc" localSheetId="5">'04x2'!$A$3:$M$6</definedName>
    <definedName name="PlaceCalc" localSheetId="6">'05x1'!$A$3:$M$7</definedName>
    <definedName name="points1" localSheetId="3">'03x2'!$W$15:$W$20</definedName>
    <definedName name="points1" localSheetId="4">'04x1'!$W$17:$W$22</definedName>
    <definedName name="points1" localSheetId="5">'04x2'!$W$17:$W$28</definedName>
    <definedName name="points1" localSheetId="6">'05x1'!$W$19:$W$28</definedName>
    <definedName name="points2" localSheetId="3">'03x2'!$X$15:$X$20</definedName>
    <definedName name="points2" localSheetId="4">'04x1'!$X$17:$X$22</definedName>
    <definedName name="points2" localSheetId="5">'04x2'!$X$17:$X$28</definedName>
    <definedName name="points2" localSheetId="6">'05x1'!$X$19:$X$28</definedName>
    <definedName name="pointsTotal" localSheetId="3">'03x2'!$X$10:$X$12</definedName>
    <definedName name="pointsTotal" localSheetId="4">'04x1'!$X$11:$X$14</definedName>
    <definedName name="pointsTotal" localSheetId="5">'04x2'!$X$11:$X$14</definedName>
    <definedName name="pointsTotal" localSheetId="6">'05x1'!$X$12:$X$16</definedName>
    <definedName name="ptt">Indstillinger!$D$6</definedName>
    <definedName name="ptu">Indstillinger!$D$5</definedName>
    <definedName name="ptv">Indstillinger!$D$4</definedName>
    <definedName name="rankNum" localSheetId="3">'03x2'!$O$10:$O$12</definedName>
    <definedName name="rankNum" localSheetId="4">'04x1'!$O$11:$O$14</definedName>
    <definedName name="rankNum" localSheetId="5">'04x2'!$O$11:$O$14</definedName>
    <definedName name="rankNum" localSheetId="6">'05x1'!$O$12:$O$16</definedName>
    <definedName name="T_01" localSheetId="3">'03x2'!$B$3</definedName>
    <definedName name="T_01" localSheetId="4">'04x1'!$B$3</definedName>
    <definedName name="T_01" localSheetId="5">'04x2'!$B$3</definedName>
    <definedName name="T_01" localSheetId="6">'05x1'!$B$3</definedName>
    <definedName name="T_02" localSheetId="3">'03x2'!$B$4</definedName>
    <definedName name="T_02" localSheetId="4">'04x1'!$B$4</definedName>
    <definedName name="T_02" localSheetId="5">'04x2'!$B$4</definedName>
    <definedName name="T_02" localSheetId="6">'05x1'!$B$4</definedName>
    <definedName name="T_03" localSheetId="3">'03x2'!$B$5</definedName>
    <definedName name="T_03" localSheetId="4">'04x1'!$B$5</definedName>
    <definedName name="T_03" localSheetId="5">'04x2'!$B$5</definedName>
    <definedName name="T_03" localSheetId="6">'05x1'!$B$5</definedName>
    <definedName name="T_04" localSheetId="3">'03x2'!#REF!</definedName>
    <definedName name="T_04" localSheetId="4">'04x1'!$B$6</definedName>
    <definedName name="T_04" localSheetId="5">'04x2'!$B$6</definedName>
    <definedName name="T_04" localSheetId="6">'05x1'!$B$6</definedName>
    <definedName name="T_05" localSheetId="6">'05x1'!$B$7</definedName>
    <definedName name="T_1" localSheetId="3">'03x2'!$P$10</definedName>
    <definedName name="T_1" localSheetId="4">'04x1'!$P$11</definedName>
    <definedName name="T_1" localSheetId="5">'04x2'!$P$11</definedName>
    <definedName name="T_1" localSheetId="6">'05x1'!$P$12</definedName>
    <definedName name="T_2" localSheetId="3">'03x2'!$P$11</definedName>
    <definedName name="T_2" localSheetId="4">'04x1'!$P$12</definedName>
    <definedName name="T_2" localSheetId="5">'04x2'!$P$12</definedName>
    <definedName name="T_2" localSheetId="6">'05x1'!$P$13</definedName>
    <definedName name="T_3" localSheetId="3">'03x2'!$P$12</definedName>
    <definedName name="T_3" localSheetId="4">'04x1'!$P$13</definedName>
    <definedName name="T_3" localSheetId="5">'04x2'!$P$13</definedName>
    <definedName name="T_3" localSheetId="6">'05x1'!$P$14</definedName>
    <definedName name="T_4" localSheetId="4">'04x1'!$P$14</definedName>
    <definedName name="T_4" localSheetId="5">'04x2'!$P$14</definedName>
    <definedName name="T_4" localSheetId="6">'05x1'!$P$15</definedName>
    <definedName name="T_5" localSheetId="6">'05x1'!$P$16</definedName>
    <definedName name="team1" localSheetId="3">'03x2'!$P$15:$P$20</definedName>
    <definedName name="team1" localSheetId="4">'04x1'!$P$17:$P$22</definedName>
    <definedName name="team1" localSheetId="5">'04x2'!$P$17:$P$28</definedName>
    <definedName name="team1" localSheetId="6">'05x1'!$P$19:$P$28</definedName>
    <definedName name="team2" localSheetId="3">'03x2'!$Q$15:$Q$20</definedName>
    <definedName name="team2" localSheetId="4">'04x1'!$Q$17:$Q$22</definedName>
    <definedName name="team2" localSheetId="5">'04x2'!$Q$17:$Q$28</definedName>
    <definedName name="team2" localSheetId="6">'05x1'!$Q$19:$Q$28</definedName>
    <definedName name="teamName" localSheetId="3">'03x2'!$P$10:$P$12</definedName>
    <definedName name="teamName" localSheetId="4">'04x1'!$P$11:$P$14</definedName>
    <definedName name="teamName" localSheetId="5">'04x2'!$P$11:$P$14</definedName>
    <definedName name="teamName" localSheetId="6">'05x1'!$P$12:$P$16</definedName>
    <definedName name="teams" localSheetId="3">'03x2'!$B$3:$B$5</definedName>
    <definedName name="teams" localSheetId="4">'04x1'!$B$3:$B$6</definedName>
    <definedName name="teams" localSheetId="5">'04x2'!$B$3:$B$6</definedName>
    <definedName name="teams" localSheetId="6">'05x1'!$B$3:$B$7</definedName>
    <definedName name="TurneringsNavn">Indstillinger!$B$10</definedName>
    <definedName name="_xlnm.Print_Area" localSheetId="3">'03x2'!$O$7:$X$24</definedName>
    <definedName name="_xlnm.Print_Area" localSheetId="4">'04x1'!$O$8:$X$26</definedName>
    <definedName name="_xlnm.Print_Area" localSheetId="5">'04x2'!$O$8:$X$32</definedName>
    <definedName name="_xlnm.Print_Area" localSheetId="6">'05x1'!$O$9:$X$32</definedName>
    <definedName name="_xlnm.Print_Area" localSheetId="2">Licens!$B$2:$C$13</definedName>
    <definedName name="_xlnm.Print_Area" localSheetId="0">Tips!$B$2:$C$82</definedName>
    <definedName name="_xlnm.Print_Titles" localSheetId="2">Licens!$3:$4</definedName>
    <definedName name="xTeams">Indstillinger!$C$14:$C$23</definedName>
  </definedNames>
  <calcPr calcId="191029" iterate="1" iterateCount="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2" i="53" l="1"/>
  <c r="W32" i="53"/>
  <c r="K32" i="53"/>
  <c r="I32" i="53"/>
  <c r="H32" i="53"/>
  <c r="X30" i="53"/>
  <c r="W30" i="53"/>
  <c r="K30" i="53"/>
  <c r="I30" i="53"/>
  <c r="H30" i="53"/>
  <c r="W28" i="53"/>
  <c r="X28" i="53" s="1"/>
  <c r="K28" i="53"/>
  <c r="W27" i="53"/>
  <c r="X27" i="53" s="1"/>
  <c r="K27" i="53"/>
  <c r="W26" i="53"/>
  <c r="X26" i="53" s="1"/>
  <c r="K26" i="53"/>
  <c r="W25" i="53"/>
  <c r="X25" i="53" s="1"/>
  <c r="K25" i="53"/>
  <c r="W24" i="53"/>
  <c r="X24" i="53" s="1"/>
  <c r="K24" i="53"/>
  <c r="W23" i="53"/>
  <c r="X23" i="53" s="1"/>
  <c r="K23" i="53"/>
  <c r="W22" i="53"/>
  <c r="X22" i="53" s="1"/>
  <c r="K22" i="53"/>
  <c r="W21" i="53"/>
  <c r="X21" i="53" s="1"/>
  <c r="K21" i="53"/>
  <c r="W20" i="53"/>
  <c r="X20" i="53" s="1"/>
  <c r="K20" i="53"/>
  <c r="W19" i="53"/>
  <c r="X19" i="53" s="1"/>
  <c r="O9" i="53"/>
  <c r="E9" i="53"/>
  <c r="B7" i="53"/>
  <c r="B6" i="53"/>
  <c r="B5" i="53"/>
  <c r="B4" i="53"/>
  <c r="B3" i="53"/>
  <c r="X24" i="51"/>
  <c r="W24" i="51"/>
  <c r="K24" i="51"/>
  <c r="I24" i="51"/>
  <c r="H24" i="51"/>
  <c r="X22" i="51"/>
  <c r="W22" i="51"/>
  <c r="K22" i="51"/>
  <c r="I22" i="51"/>
  <c r="H22" i="51"/>
  <c r="W20" i="51"/>
  <c r="X20" i="51" s="1"/>
  <c r="K20" i="51"/>
  <c r="W19" i="51"/>
  <c r="X19" i="51" s="1"/>
  <c r="K19" i="51"/>
  <c r="W18" i="51"/>
  <c r="X18" i="51" s="1"/>
  <c r="K18" i="51"/>
  <c r="W17" i="51"/>
  <c r="X17" i="51" s="1"/>
  <c r="K17" i="51"/>
  <c r="W16" i="51"/>
  <c r="X16" i="51" s="1"/>
  <c r="K16" i="51"/>
  <c r="W15" i="51"/>
  <c r="X15" i="51" s="1"/>
  <c r="O7" i="51"/>
  <c r="E7" i="51"/>
  <c r="B5" i="51"/>
  <c r="B4" i="51"/>
  <c r="B3" i="51"/>
  <c r="G21" i="53" l="1"/>
  <c r="H21" i="53" s="1"/>
  <c r="G24" i="53"/>
  <c r="H24" i="53" s="1"/>
  <c r="G27" i="53"/>
  <c r="H27" i="53" s="1"/>
  <c r="F22" i="53"/>
  <c r="I22" i="53" s="1"/>
  <c r="F25" i="53"/>
  <c r="I25" i="53" s="1"/>
  <c r="F28" i="53"/>
  <c r="I28" i="53" s="1"/>
  <c r="F19" i="53"/>
  <c r="I19" i="53" s="1"/>
  <c r="G22" i="53"/>
  <c r="H22" i="53" s="1"/>
  <c r="G25" i="53"/>
  <c r="H25" i="53" s="1"/>
  <c r="G28" i="53"/>
  <c r="H28" i="53" s="1"/>
  <c r="G19" i="53"/>
  <c r="H19" i="53" s="1"/>
  <c r="F20" i="53"/>
  <c r="I20" i="53" s="1"/>
  <c r="F23" i="53"/>
  <c r="I23" i="53" s="1"/>
  <c r="F26" i="53"/>
  <c r="I26" i="53" s="1"/>
  <c r="G20" i="53"/>
  <c r="H20" i="53" s="1"/>
  <c r="G23" i="53"/>
  <c r="H23" i="53" s="1"/>
  <c r="G26" i="53"/>
  <c r="H26" i="53" s="1"/>
  <c r="F21" i="53"/>
  <c r="I21" i="53" s="1"/>
  <c r="F24" i="53"/>
  <c r="I24" i="53" s="1"/>
  <c r="F27" i="53"/>
  <c r="I27" i="53" s="1"/>
  <c r="F15" i="51"/>
  <c r="I15" i="51" s="1"/>
  <c r="G18" i="51"/>
  <c r="H18" i="51" s="1"/>
  <c r="G15" i="51"/>
  <c r="H15" i="51" s="1"/>
  <c r="F16" i="51"/>
  <c r="I16" i="51" s="1"/>
  <c r="F19" i="51"/>
  <c r="I19" i="51" s="1"/>
  <c r="G16" i="51"/>
  <c r="H16" i="51" s="1"/>
  <c r="G19" i="51"/>
  <c r="H19" i="51" s="1"/>
  <c r="F17" i="51"/>
  <c r="I17" i="51" s="1"/>
  <c r="F20" i="51"/>
  <c r="I20" i="51" s="1"/>
  <c r="G17" i="51"/>
  <c r="H17" i="51" s="1"/>
  <c r="G20" i="51"/>
  <c r="H20" i="51" s="1"/>
  <c r="F18" i="51"/>
  <c r="I18" i="51" s="1"/>
  <c r="X32" i="46"/>
  <c r="W32" i="46"/>
  <c r="K32" i="46"/>
  <c r="I32" i="46"/>
  <c r="H32" i="46"/>
  <c r="X30" i="46"/>
  <c r="W30" i="46"/>
  <c r="K30" i="46"/>
  <c r="I30" i="46"/>
  <c r="H30" i="46"/>
  <c r="W28" i="46"/>
  <c r="X28" i="46" s="1"/>
  <c r="K28" i="46"/>
  <c r="W27" i="46"/>
  <c r="X27" i="46" s="1"/>
  <c r="K27" i="46"/>
  <c r="W26" i="46"/>
  <c r="X26" i="46" s="1"/>
  <c r="K26" i="46"/>
  <c r="W25" i="46"/>
  <c r="X25" i="46" s="1"/>
  <c r="K25" i="46"/>
  <c r="W24" i="46"/>
  <c r="X24" i="46" s="1"/>
  <c r="K24" i="46"/>
  <c r="W23" i="46"/>
  <c r="X23" i="46" s="1"/>
  <c r="K23" i="46"/>
  <c r="W22" i="46"/>
  <c r="X22" i="46" s="1"/>
  <c r="K22" i="46"/>
  <c r="W21" i="46"/>
  <c r="X21" i="46" s="1"/>
  <c r="K21" i="46"/>
  <c r="W20" i="46"/>
  <c r="X20" i="46" s="1"/>
  <c r="K20" i="46"/>
  <c r="W19" i="46"/>
  <c r="X19" i="46" s="1"/>
  <c r="K19" i="46"/>
  <c r="W18" i="46"/>
  <c r="X18" i="46" s="1"/>
  <c r="K18" i="46"/>
  <c r="W17" i="46"/>
  <c r="X17" i="46" s="1"/>
  <c r="O8" i="46"/>
  <c r="E8" i="46"/>
  <c r="B6" i="46"/>
  <c r="B5" i="46"/>
  <c r="B4" i="46"/>
  <c r="B3" i="46"/>
  <c r="X26" i="45"/>
  <c r="W26" i="45"/>
  <c r="K26" i="45"/>
  <c r="I26" i="45"/>
  <c r="H26" i="45"/>
  <c r="X24" i="45"/>
  <c r="W24" i="45"/>
  <c r="K24" i="45"/>
  <c r="I24" i="45"/>
  <c r="H24" i="45"/>
  <c r="W22" i="45"/>
  <c r="X22" i="45" s="1"/>
  <c r="K22" i="45"/>
  <c r="W21" i="45"/>
  <c r="X21" i="45" s="1"/>
  <c r="K21" i="45"/>
  <c r="W20" i="45"/>
  <c r="X20" i="45" s="1"/>
  <c r="K20" i="45"/>
  <c r="W19" i="45"/>
  <c r="X19" i="45" s="1"/>
  <c r="K19" i="45"/>
  <c r="W18" i="45"/>
  <c r="X18" i="45" s="1"/>
  <c r="K18" i="45"/>
  <c r="W17" i="45"/>
  <c r="X17" i="45" s="1"/>
  <c r="O8" i="45"/>
  <c r="E8" i="45"/>
  <c r="B6" i="45"/>
  <c r="B5" i="45"/>
  <c r="B4" i="45"/>
  <c r="B3" i="45"/>
  <c r="Q15" i="51"/>
  <c r="Q20" i="51"/>
  <c r="Q28" i="53"/>
  <c r="Q20" i="53"/>
  <c r="Q21" i="53"/>
  <c r="Q19" i="53"/>
  <c r="Q24" i="53"/>
  <c r="Q17" i="51"/>
  <c r="Q25" i="53"/>
  <c r="Q22" i="53"/>
  <c r="P15" i="51"/>
  <c r="Q18" i="51"/>
  <c r="Q27" i="53"/>
  <c r="Q19" i="51"/>
  <c r="Q16" i="51"/>
  <c r="Q26" i="53"/>
  <c r="Q23" i="53"/>
  <c r="P19" i="53"/>
  <c r="P18" i="51"/>
  <c r="I15" i="53" l="1"/>
  <c r="I13" i="53"/>
  <c r="I16" i="53"/>
  <c r="I12" i="53"/>
  <c r="I14" i="53"/>
  <c r="D24" i="53"/>
  <c r="D26" i="53"/>
  <c r="D21" i="53"/>
  <c r="D23" i="53"/>
  <c r="D28" i="53"/>
  <c r="D20" i="53"/>
  <c r="D25" i="53"/>
  <c r="D22" i="53"/>
  <c r="D27" i="53"/>
  <c r="G11" i="51"/>
  <c r="G12" i="51"/>
  <c r="G10" i="51"/>
  <c r="D20" i="51"/>
  <c r="D17" i="51"/>
  <c r="D18" i="51"/>
  <c r="D19" i="51"/>
  <c r="D16" i="51"/>
  <c r="F26" i="46"/>
  <c r="I26" i="46" s="1"/>
  <c r="F17" i="46"/>
  <c r="I17" i="46" s="1"/>
  <c r="G20" i="46"/>
  <c r="H20" i="46" s="1"/>
  <c r="G23" i="46"/>
  <c r="H23" i="46" s="1"/>
  <c r="G26" i="46"/>
  <c r="H26" i="46" s="1"/>
  <c r="G17" i="46"/>
  <c r="H17" i="46" s="1"/>
  <c r="G18" i="46"/>
  <c r="H18" i="46" s="1"/>
  <c r="G21" i="46"/>
  <c r="H21" i="46" s="1"/>
  <c r="G27" i="46"/>
  <c r="H27" i="46" s="1"/>
  <c r="F24" i="46"/>
  <c r="I24" i="46" s="1"/>
  <c r="G24" i="46"/>
  <c r="H24" i="46" s="1"/>
  <c r="F21" i="46"/>
  <c r="I21" i="46" s="1"/>
  <c r="F19" i="46"/>
  <c r="I19" i="46" s="1"/>
  <c r="F22" i="46"/>
  <c r="I22" i="46" s="1"/>
  <c r="F25" i="46"/>
  <c r="I25" i="46" s="1"/>
  <c r="F28" i="46"/>
  <c r="I28" i="46" s="1"/>
  <c r="F27" i="46"/>
  <c r="I27" i="46" s="1"/>
  <c r="G22" i="46"/>
  <c r="H22" i="46" s="1"/>
  <c r="G25" i="46"/>
  <c r="H25" i="46" s="1"/>
  <c r="G28" i="46"/>
  <c r="H28" i="46" s="1"/>
  <c r="F18" i="46"/>
  <c r="I18" i="46" s="1"/>
  <c r="G19" i="46"/>
  <c r="H19" i="46" s="1"/>
  <c r="F20" i="46"/>
  <c r="I20" i="46" s="1"/>
  <c r="F23" i="46"/>
  <c r="I23" i="46" s="1"/>
  <c r="F21" i="45"/>
  <c r="I21" i="45" s="1"/>
  <c r="G18" i="45"/>
  <c r="H18" i="45" s="1"/>
  <c r="G21" i="45"/>
  <c r="H21" i="45" s="1"/>
  <c r="F19" i="45"/>
  <c r="I19" i="45" s="1"/>
  <c r="F22" i="45"/>
  <c r="I22" i="45" s="1"/>
  <c r="F17" i="45"/>
  <c r="I17" i="45" s="1"/>
  <c r="G17" i="45"/>
  <c r="H17" i="45" s="1"/>
  <c r="G19" i="45"/>
  <c r="H19" i="45" s="1"/>
  <c r="G20" i="45"/>
  <c r="H20" i="45" s="1"/>
  <c r="G22" i="45"/>
  <c r="H22" i="45" s="1"/>
  <c r="F18" i="45"/>
  <c r="I18" i="45" s="1"/>
  <c r="F20" i="45"/>
  <c r="I20" i="45" s="1"/>
  <c r="Q23" i="46"/>
  <c r="Q21" i="45"/>
  <c r="P17" i="51"/>
  <c r="P19" i="51"/>
  <c r="Q17" i="46"/>
  <c r="Q20" i="46"/>
  <c r="P26" i="53"/>
  <c r="Q28" i="46"/>
  <c r="Q18" i="46"/>
  <c r="Q25" i="46"/>
  <c r="P21" i="53"/>
  <c r="P20" i="51"/>
  <c r="P25" i="53"/>
  <c r="Q22" i="46"/>
  <c r="P16" i="51"/>
  <c r="Q17" i="45"/>
  <c r="P22" i="53"/>
  <c r="Q19" i="46"/>
  <c r="P17" i="45"/>
  <c r="P23" i="53"/>
  <c r="Q26" i="46"/>
  <c r="P17" i="46"/>
  <c r="P20" i="53"/>
  <c r="P28" i="53"/>
  <c r="P24" i="53"/>
  <c r="Q27" i="46"/>
  <c r="P27" i="53"/>
  <c r="Q22" i="45"/>
  <c r="Q24" i="46"/>
  <c r="Q20" i="45"/>
  <c r="Q21" i="46"/>
  <c r="Q18" i="45"/>
  <c r="Q19" i="45"/>
  <c r="G4" i="53" l="1"/>
  <c r="H4" i="53" s="1"/>
  <c r="G6" i="53"/>
  <c r="H6" i="53" s="1"/>
  <c r="G7" i="53"/>
  <c r="H7" i="53" s="1"/>
  <c r="G5" i="53"/>
  <c r="H5" i="53" s="1"/>
  <c r="G3" i="53"/>
  <c r="H3" i="53" s="1"/>
  <c r="G4" i="51"/>
  <c r="H4" i="51" s="1"/>
  <c r="G5" i="51"/>
  <c r="H5" i="51" s="1"/>
  <c r="H12" i="53"/>
  <c r="J12" i="53" s="1"/>
  <c r="C6" i="53"/>
  <c r="C5" i="53"/>
  <c r="E3" i="53"/>
  <c r="C7" i="53"/>
  <c r="E4" i="53"/>
  <c r="E5" i="53"/>
  <c r="E6" i="53"/>
  <c r="H13" i="53"/>
  <c r="J13" i="53" s="1"/>
  <c r="H15" i="53"/>
  <c r="J15" i="53" s="1"/>
  <c r="D5" i="53"/>
  <c r="E7" i="53"/>
  <c r="C3" i="53"/>
  <c r="D3" i="53"/>
  <c r="C4" i="53"/>
  <c r="D7" i="53"/>
  <c r="D4" i="53"/>
  <c r="D6" i="53"/>
  <c r="H14" i="53"/>
  <c r="J14" i="53" s="1"/>
  <c r="H16" i="53"/>
  <c r="J16" i="53" s="1"/>
  <c r="F10" i="51"/>
  <c r="H10" i="51" s="1"/>
  <c r="G3" i="51"/>
  <c r="H3" i="51" s="1"/>
  <c r="D4" i="51"/>
  <c r="E3" i="51"/>
  <c r="E5" i="51"/>
  <c r="F12" i="51"/>
  <c r="H12" i="51" s="1"/>
  <c r="F11" i="51"/>
  <c r="H11" i="51" s="1"/>
  <c r="C3" i="51"/>
  <c r="C5" i="51"/>
  <c r="E4" i="51"/>
  <c r="D3" i="51"/>
  <c r="C4" i="51"/>
  <c r="D5" i="51"/>
  <c r="H12" i="46"/>
  <c r="H13" i="46"/>
  <c r="H14" i="46"/>
  <c r="H11" i="46"/>
  <c r="H12" i="45"/>
  <c r="H13" i="45"/>
  <c r="H14" i="45"/>
  <c r="H11" i="45"/>
  <c r="D19" i="46"/>
  <c r="D27" i="46"/>
  <c r="D20" i="46"/>
  <c r="D21" i="46"/>
  <c r="D18" i="46"/>
  <c r="D28" i="46"/>
  <c r="D24" i="46"/>
  <c r="D25" i="46"/>
  <c r="D22" i="46"/>
  <c r="D26" i="46"/>
  <c r="D23" i="46"/>
  <c r="D19" i="45"/>
  <c r="D21" i="45"/>
  <c r="D18" i="45"/>
  <c r="D22" i="45"/>
  <c r="D20" i="45"/>
  <c r="P19" i="46"/>
  <c r="P24" i="46"/>
  <c r="P27" i="46"/>
  <c r="P28" i="46"/>
  <c r="P25" i="46"/>
  <c r="P20" i="45"/>
  <c r="P21" i="46"/>
  <c r="P22" i="45"/>
  <c r="P26" i="46"/>
  <c r="P22" i="46"/>
  <c r="P19" i="45"/>
  <c r="P23" i="46"/>
  <c r="P20" i="46"/>
  <c r="P18" i="46"/>
  <c r="P21" i="45"/>
  <c r="P18" i="45"/>
  <c r="G5" i="46" l="1"/>
  <c r="H5" i="46" s="1"/>
  <c r="G6" i="46"/>
  <c r="H6" i="46" s="1"/>
  <c r="G4" i="46"/>
  <c r="H4" i="46" s="1"/>
  <c r="G6" i="45"/>
  <c r="H6" i="45" s="1"/>
  <c r="G4" i="45"/>
  <c r="G5" i="45"/>
  <c r="I7" i="53"/>
  <c r="I4" i="53"/>
  <c r="F7" i="53"/>
  <c r="K7" i="53"/>
  <c r="K4" i="53"/>
  <c r="F4" i="53"/>
  <c r="I3" i="53"/>
  <c r="I6" i="53"/>
  <c r="F5" i="53"/>
  <c r="K5" i="53"/>
  <c r="F3" i="53"/>
  <c r="K3" i="53"/>
  <c r="I5" i="53"/>
  <c r="K6" i="53"/>
  <c r="F6" i="53"/>
  <c r="I5" i="51"/>
  <c r="I4" i="51"/>
  <c r="F5" i="51"/>
  <c r="K5" i="51"/>
  <c r="I3" i="51"/>
  <c r="F3" i="51"/>
  <c r="K3" i="51"/>
  <c r="K4" i="51"/>
  <c r="F4" i="51"/>
  <c r="G12" i="46"/>
  <c r="I12" i="46" s="1"/>
  <c r="G13" i="46"/>
  <c r="I13" i="46" s="1"/>
  <c r="G14" i="46"/>
  <c r="I14" i="46" s="1"/>
  <c r="G11" i="46"/>
  <c r="I11" i="46" s="1"/>
  <c r="G12" i="45"/>
  <c r="G13" i="45"/>
  <c r="G14" i="45"/>
  <c r="G11" i="45"/>
  <c r="E3" i="46"/>
  <c r="D6" i="46"/>
  <c r="C6" i="46"/>
  <c r="G3" i="46"/>
  <c r="H3" i="46" s="1"/>
  <c r="E4" i="46"/>
  <c r="C4" i="46"/>
  <c r="E6" i="46"/>
  <c r="D5" i="46"/>
  <c r="D4" i="46"/>
  <c r="C5" i="46"/>
  <c r="C3" i="46"/>
  <c r="E5" i="46"/>
  <c r="D3" i="46"/>
  <c r="H5" i="45"/>
  <c r="C4" i="45"/>
  <c r="G3" i="45"/>
  <c r="H3" i="45" s="1"/>
  <c r="C6" i="45"/>
  <c r="C5" i="45"/>
  <c r="E4" i="45"/>
  <c r="C3" i="45"/>
  <c r="H4" i="45"/>
  <c r="E3" i="45"/>
  <c r="D5" i="45"/>
  <c r="D4" i="45"/>
  <c r="D3" i="45"/>
  <c r="E6" i="45"/>
  <c r="E5" i="45"/>
  <c r="D6" i="45"/>
  <c r="J5" i="51" l="1"/>
  <c r="L5" i="51" s="1"/>
  <c r="J4" i="51"/>
  <c r="L4" i="51" s="1"/>
  <c r="J3" i="51"/>
  <c r="L3" i="51" s="1"/>
  <c r="J3" i="53"/>
  <c r="L3" i="53" s="1"/>
  <c r="J4" i="53"/>
  <c r="L4" i="53" s="1"/>
  <c r="J5" i="53"/>
  <c r="L5" i="53" s="1"/>
  <c r="J7" i="53"/>
  <c r="L7" i="53" s="1"/>
  <c r="J6" i="53"/>
  <c r="L6" i="53" s="1"/>
  <c r="I5" i="46"/>
  <c r="F4" i="46"/>
  <c r="K4" i="46"/>
  <c r="I4" i="46"/>
  <c r="K3" i="46"/>
  <c r="F3" i="46"/>
  <c r="I6" i="46"/>
  <c r="F6" i="46"/>
  <c r="K6" i="46"/>
  <c r="K5" i="46"/>
  <c r="F5" i="46"/>
  <c r="I3" i="46"/>
  <c r="I6" i="45"/>
  <c r="K5" i="45"/>
  <c r="F5" i="45"/>
  <c r="F6" i="45"/>
  <c r="K6" i="45"/>
  <c r="I3" i="45"/>
  <c r="I5" i="45"/>
  <c r="F4" i="45"/>
  <c r="K4" i="45"/>
  <c r="K3" i="45"/>
  <c r="F3" i="45"/>
  <c r="I4" i="45"/>
  <c r="J4" i="45" l="1"/>
  <c r="L4" i="45" s="1"/>
  <c r="J3" i="45"/>
  <c r="L3" i="45" s="1"/>
  <c r="J6" i="45"/>
  <c r="L6" i="45" s="1"/>
  <c r="J5" i="45"/>
  <c r="L5" i="45" s="1"/>
  <c r="J6" i="46"/>
  <c r="L6" i="46" s="1"/>
  <c r="J3" i="46"/>
  <c r="L3" i="46" s="1"/>
  <c r="J5" i="46"/>
  <c r="L5" i="46" s="1"/>
  <c r="J4" i="46"/>
  <c r="L4" i="46" s="1"/>
  <c r="M4" i="53"/>
  <c r="M3" i="53"/>
  <c r="M7" i="53"/>
  <c r="M6" i="53"/>
  <c r="M5" i="53"/>
  <c r="M5" i="51"/>
  <c r="M4" i="51"/>
  <c r="M3" i="51"/>
  <c r="P16" i="53" l="1"/>
  <c r="P15" i="53"/>
  <c r="P14" i="53"/>
  <c r="P13" i="53"/>
  <c r="P12" i="53"/>
  <c r="P10" i="51"/>
  <c r="P11" i="51"/>
  <c r="P12" i="51"/>
  <c r="M4" i="46"/>
  <c r="M3" i="46"/>
  <c r="M5" i="46"/>
  <c r="M6" i="46"/>
  <c r="M6" i="45"/>
  <c r="M4" i="45"/>
  <c r="M5" i="45"/>
  <c r="M3" i="45"/>
  <c r="U12" i="53" l="1"/>
  <c r="G12" i="53"/>
  <c r="T12" i="53"/>
  <c r="S12" i="53"/>
  <c r="R12" i="53"/>
  <c r="W12" i="53"/>
  <c r="X12" i="53"/>
  <c r="V12" i="53"/>
  <c r="U13" i="53"/>
  <c r="G13" i="53"/>
  <c r="T13" i="53"/>
  <c r="S13" i="53"/>
  <c r="R13" i="53"/>
  <c r="W13" i="53"/>
  <c r="X13" i="53"/>
  <c r="V13" i="53"/>
  <c r="U14" i="53"/>
  <c r="G14" i="53"/>
  <c r="T14" i="53"/>
  <c r="S14" i="53"/>
  <c r="W14" i="53"/>
  <c r="R14" i="53"/>
  <c r="X14" i="53"/>
  <c r="V14" i="53"/>
  <c r="U15" i="53"/>
  <c r="G15" i="53"/>
  <c r="T15" i="53"/>
  <c r="S15" i="53"/>
  <c r="R15" i="53"/>
  <c r="W15" i="53"/>
  <c r="X15" i="53"/>
  <c r="V15" i="53"/>
  <c r="U16" i="53"/>
  <c r="G16" i="53"/>
  <c r="T16" i="53"/>
  <c r="W16" i="53"/>
  <c r="S16" i="53"/>
  <c r="R16" i="53"/>
  <c r="X16" i="53"/>
  <c r="V16" i="53"/>
  <c r="W12" i="51"/>
  <c r="V12" i="51"/>
  <c r="U12" i="51"/>
  <c r="E12" i="51"/>
  <c r="T12" i="51"/>
  <c r="S12" i="51"/>
  <c r="R12" i="51"/>
  <c r="X12" i="51"/>
  <c r="V11" i="51"/>
  <c r="W11" i="51"/>
  <c r="U11" i="51"/>
  <c r="E11" i="51"/>
  <c r="T11" i="51"/>
  <c r="S11" i="51"/>
  <c r="R11" i="51"/>
  <c r="X11" i="51"/>
  <c r="U10" i="51"/>
  <c r="E10" i="51"/>
  <c r="V10" i="51"/>
  <c r="T10" i="51"/>
  <c r="S10" i="51"/>
  <c r="R10" i="51"/>
  <c r="X10" i="51"/>
  <c r="W10" i="51"/>
  <c r="P13" i="46"/>
  <c r="P11" i="46"/>
  <c r="P12" i="46"/>
  <c r="P14" i="46"/>
  <c r="P14" i="45"/>
  <c r="P11" i="45"/>
  <c r="P12" i="45"/>
  <c r="P13" i="45"/>
  <c r="V14" i="46" l="1"/>
  <c r="U14" i="46"/>
  <c r="T14" i="46"/>
  <c r="S14" i="46"/>
  <c r="F14" i="46"/>
  <c r="R14" i="46"/>
  <c r="X14" i="46"/>
  <c r="W14" i="46"/>
  <c r="T12" i="46"/>
  <c r="S12" i="46"/>
  <c r="F12" i="46"/>
  <c r="R12" i="46"/>
  <c r="X12" i="46"/>
  <c r="W12" i="46"/>
  <c r="V12" i="46"/>
  <c r="U12" i="46"/>
  <c r="W11" i="46"/>
  <c r="V11" i="46"/>
  <c r="U11" i="46"/>
  <c r="T11" i="46"/>
  <c r="S11" i="46"/>
  <c r="F11" i="46"/>
  <c r="R11" i="46"/>
  <c r="X11" i="46"/>
  <c r="X13" i="46"/>
  <c r="S13" i="46"/>
  <c r="F13" i="46"/>
  <c r="W13" i="46"/>
  <c r="V13" i="46"/>
  <c r="U13" i="46"/>
  <c r="T13" i="46"/>
  <c r="R13" i="46"/>
  <c r="S13" i="45"/>
  <c r="R13" i="45"/>
  <c r="X13" i="45"/>
  <c r="W13" i="45"/>
  <c r="V13" i="45"/>
  <c r="U13" i="45"/>
  <c r="F13" i="45"/>
  <c r="T13" i="45"/>
  <c r="X11" i="45"/>
  <c r="S11" i="45"/>
  <c r="W11" i="45"/>
  <c r="R11" i="45"/>
  <c r="V11" i="45"/>
  <c r="U11" i="45"/>
  <c r="F11" i="45"/>
  <c r="T11" i="45"/>
  <c r="R12" i="45"/>
  <c r="S12" i="45"/>
  <c r="T12" i="45"/>
  <c r="X12" i="45"/>
  <c r="W12" i="45"/>
  <c r="V12" i="45"/>
  <c r="U12" i="45"/>
  <c r="F12" i="45"/>
  <c r="U14" i="45"/>
  <c r="F14" i="45"/>
  <c r="S14" i="45"/>
  <c r="T14" i="45"/>
  <c r="R14" i="45"/>
  <c r="X14" i="45"/>
  <c r="W14" i="45"/>
  <c r="V14" i="45"/>
  <c r="I12" i="45" l="1"/>
  <c r="I13" i="45"/>
  <c r="I11" i="45"/>
  <c r="I14" i="45"/>
  <c r="B2" i="35" l="1"/>
  <c r="B10" i="35"/>
  <c r="D1" i="13" l="1"/>
  <c r="B82" i="4"/>
  <c r="B3" i="4"/>
  <c r="C2" i="4"/>
  <c r="S26" i="53" l="1"/>
  <c r="S28" i="46"/>
  <c r="S24" i="53"/>
  <c r="S26" i="46"/>
  <c r="S22" i="45"/>
  <c r="S22" i="53"/>
  <c r="S24" i="46"/>
  <c r="S18" i="46"/>
  <c r="S22" i="46"/>
  <c r="S20" i="53"/>
  <c r="S20" i="46"/>
  <c r="S28" i="53"/>
  <c r="S20" i="45"/>
  <c r="S18"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E7" authorId="0" shapeId="0" xr:uid="{1725B767-826E-4F88-9721-7D6EF1B7CD14}">
      <text>
        <r>
          <rPr>
            <sz val="10"/>
            <color indexed="10"/>
            <rFont val="Consolas"/>
            <family val="3"/>
          </rPr>
          <t>Kamplængden er fra kampstart til kampstart, dvs. inkl. evt. halvlegspause og pause mellem kampe._x000D_
_x000D_
Eks.: Der spilles 2x20 min med 5 min. pause og 15 min. skiftetid mellem kampene = 20 + 20 + 5 + 15 = 55 min.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F6241CC7-E175-486B-A527-B1286E16C1F7}">
      <text>
        <r>
          <rPr>
            <sz val="10"/>
            <color indexed="10"/>
            <rFont val="Consolas"/>
            <family val="3"/>
          </rPr>
          <t>=INDEKS(xTeams;A4;1)</t>
        </r>
      </text>
    </comment>
    <comment ref="I2" authorId="0" shapeId="0" xr:uid="{2DE4F55E-0909-4D3E-8EF7-E589A3D47BFB}">
      <text>
        <r>
          <rPr>
            <sz val="10"/>
            <color indexed="10"/>
            <rFont val="Consolas"/>
            <family val="3"/>
          </rPr>
          <t>=PLADS($E4;$E$4:$E$11;0) + TÆL.HVIS($E$4:$E4;$E4)-1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C1569D02-83C7-4394-9F24-A8062C5F0445}">
      <text>
        <r>
          <rPr>
            <sz val="10"/>
            <color indexed="10"/>
            <rFont val="Consolas"/>
            <family val="3"/>
          </rPr>
          <t>=INDEKS(xTeams;A4;1)</t>
        </r>
      </text>
    </comment>
    <comment ref="I2" authorId="0" shapeId="0" xr:uid="{7AB34A06-933E-4AED-8920-D5A7293B3D0F}">
      <text>
        <r>
          <rPr>
            <sz val="10"/>
            <color indexed="10"/>
            <rFont val="Consolas"/>
            <family val="3"/>
          </rPr>
          <t>=PLADS($E4;$E$4:$E$11;0) + TÆL.HVIS($E$4:$E4;$E4)-1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046851EC-1EEC-4E2E-96E5-FBF3282346A7}">
      <text>
        <r>
          <rPr>
            <sz val="10"/>
            <color indexed="10"/>
            <rFont val="Consolas"/>
            <family val="3"/>
          </rPr>
          <t>=INDEKS(xTeams;A4;1)</t>
        </r>
      </text>
    </comment>
    <comment ref="I2" authorId="0" shapeId="0" xr:uid="{16F9FA97-5A15-4D2C-A6F6-1AB819D0E8A6}">
      <text>
        <r>
          <rPr>
            <sz val="10"/>
            <color indexed="10"/>
            <rFont val="Consolas"/>
            <family val="3"/>
          </rPr>
          <t>=PLADS($E4;$E$4:$E$11;0) + TÆL.HVIS($E$4:$E4;$E4)-1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Bent Elting</author>
  </authors>
  <commentList>
    <comment ref="B2" authorId="0" shapeId="0" xr:uid="{2258266A-9709-4A00-9239-373491E72B62}">
      <text>
        <r>
          <rPr>
            <sz val="10"/>
            <color indexed="10"/>
            <rFont val="Consolas"/>
            <family val="3"/>
          </rPr>
          <t>=INDEKS(xTeams;A4;1)</t>
        </r>
      </text>
    </comment>
    <comment ref="I2" authorId="0" shapeId="0" xr:uid="{E59A05BF-92F4-4C04-AA43-7907F45A37DD}">
      <text>
        <r>
          <rPr>
            <sz val="10"/>
            <color indexed="10"/>
            <rFont val="Consolas"/>
            <family val="3"/>
          </rPr>
          <t>=PLADS($E4;$E$4:$E$11;0) + TÆL.HVIS($E$4:$E4;$E4)-1</t>
        </r>
      </text>
    </comment>
  </commentList>
</comments>
</file>

<file path=xl/sharedStrings.xml><?xml version="1.0" encoding="utf-8"?>
<sst xmlns="http://schemas.openxmlformats.org/spreadsheetml/2006/main" count="386" uniqueCount="139">
  <si>
    <t>?</t>
  </si>
  <si>
    <t>123</t>
  </si>
  <si>
    <t>h1</t>
  </si>
  <si>
    <t>u1</t>
  </si>
  <si>
    <t>K</t>
  </si>
  <si>
    <t>V</t>
  </si>
  <si>
    <t>U</t>
  </si>
  <si>
    <t>T</t>
  </si>
  <si>
    <t>M+</t>
  </si>
  <si>
    <t>M-</t>
  </si>
  <si>
    <t>Assens</t>
  </si>
  <si>
    <t>Bogense</t>
  </si>
  <si>
    <t>Christiansfelt</t>
  </si>
  <si>
    <t>Dragør</t>
  </si>
  <si>
    <t>Ejby</t>
  </si>
  <si>
    <t>Fjerritslev</t>
  </si>
  <si>
    <t>Use</t>
  </si>
  <si>
    <t>Check</t>
  </si>
  <si>
    <t>Kamp</t>
  </si>
  <si>
    <t>KL</t>
  </si>
  <si>
    <t>RK</t>
  </si>
  <si>
    <t>H1</t>
  </si>
  <si>
    <t>H2</t>
  </si>
  <si>
    <t>i</t>
  </si>
  <si>
    <t>Dato</t>
  </si>
  <si>
    <t>Hold 1</t>
  </si>
  <si>
    <t>Hold 2</t>
  </si>
  <si>
    <t>Dato *</t>
  </si>
  <si>
    <t>Tid *</t>
  </si>
  <si>
    <t>Bane *</t>
  </si>
  <si>
    <t>Mål *</t>
  </si>
  <si>
    <t>Pt</t>
  </si>
  <si>
    <t>*</t>
  </si>
  <si>
    <t>Bronze</t>
  </si>
  <si>
    <t>4.</t>
  </si>
  <si>
    <t>Guld</t>
  </si>
  <si>
    <t>Sølv</t>
  </si>
  <si>
    <t>Hvad går det ud på?</t>
  </si>
  <si>
    <t>Med turneringsplanen er det nemt at afvikle en turnering med hold, der spiller alle-mod-alle.</t>
  </si>
  <si>
    <t>På arket indstillinger vælger du points for vundne, uafgjorte og tabte kampe.</t>
  </si>
  <si>
    <t>Hvordan gør du?</t>
  </si>
  <si>
    <t>Tiden fra kampstart til kampstart rettes på arket 'Indstillinger'.</t>
  </si>
  <si>
    <t>Alle datoer og tider kan overskrives.</t>
  </si>
  <si>
    <t>I oversigten opdateres den samlede stilling</t>
  </si>
  <si>
    <t>automatisk: Antal Kampe, Vundne, Uafgjort, Tabt,</t>
  </si>
  <si>
    <t>egne scoringer (M+), modstandernes scoringer (M-)</t>
  </si>
  <si>
    <t>Beskyttelse</t>
  </si>
  <si>
    <t>Alle ark er beskyttede. Du kan altså kun rette i ikke-låste celler (de</t>
  </si>
  <si>
    <t>hvide). Men - der er ikke brugt kode, så du kan blot fjerne</t>
  </si>
  <si>
    <t>ark-beskyttelsen, hvis du selv vil arbejde videre.</t>
  </si>
  <si>
    <t>Indstillinger</t>
  </si>
  <si>
    <t xml:space="preserve">På arket 'Indstillinger' angiver du hvor mange points, </t>
  </si>
  <si>
    <t>der gives for kampe, der er vundet, uafgjort og tabt.</t>
  </si>
  <si>
    <t>Du kan også indtaste kamplængde. Se kommentaren</t>
  </si>
  <si>
    <t>for mere info.</t>
  </si>
  <si>
    <t>Venligst: Slet ikke dette ark.</t>
  </si>
  <si>
    <t>Glamsbjerg</t>
  </si>
  <si>
    <t>Holeby</t>
  </si>
  <si>
    <t>Indre By</t>
  </si>
  <si>
    <t>Jullerup</t>
  </si>
  <si>
    <t>Points for vundet kamp</t>
  </si>
  <si>
    <t>Points for uafgjort</t>
  </si>
  <si>
    <t>Points for tabt kamp</t>
  </si>
  <si>
    <t>B</t>
  </si>
  <si>
    <t>Kampe/runde</t>
  </si>
  <si>
    <t>T_01</t>
  </si>
  <si>
    <t>T_02</t>
  </si>
  <si>
    <t>T_03</t>
  </si>
  <si>
    <t>T_04</t>
  </si>
  <si>
    <t>T_05</t>
  </si>
  <si>
    <t>T_04T_05</t>
  </si>
  <si>
    <t>T_02T_05</t>
  </si>
  <si>
    <t>T_03T_04</t>
  </si>
  <si>
    <t>T_02T_03</t>
  </si>
  <si>
    <t>T_05T_01</t>
  </si>
  <si>
    <t>T_01T_04</t>
  </si>
  <si>
    <t>T_05T_03</t>
  </si>
  <si>
    <t>T_03T_01</t>
  </si>
  <si>
    <t>T_04T_02</t>
  </si>
  <si>
    <t>T_01T_02</t>
  </si>
  <si>
    <t>T_04T_03</t>
  </si>
  <si>
    <t>T_03T_02</t>
  </si>
  <si>
    <t>T_04T_01</t>
  </si>
  <si>
    <t>T_01T_03</t>
  </si>
  <si>
    <t>T_02T_04</t>
  </si>
  <si>
    <t>T_02T_01</t>
  </si>
  <si>
    <t>Kampe</t>
  </si>
  <si>
    <t>Sum</t>
  </si>
  <si>
    <t>Hold</t>
  </si>
  <si>
    <t>www.xleasy.dk</t>
  </si>
  <si>
    <t xml:space="preserve">FAIR BRUG indebærer, at du glæder dig selv og andre ved at tilpasse, kopiere og dele Løsningen. 
Det er ikke FAIR brug at lægge Løsningen til fri download virksomhedens intranet, på offentligt tilgængelige websites eller forums. Hvis du ønsker, at løsningen (evt. med dine tilpasninger) skal være tilgængelig for en bredere kreds, er du velkommen til at kontakte mig, så vi kan indgå en fair aftale.
Det er ikke FAIR BRUG at påstå, at det er din løsning eller at videredistribuere den i nogen form.
</t>
  </si>
  <si>
    <t>FAIR BRUG</t>
  </si>
  <si>
    <r>
      <t xml:space="preserve">Du er må anvende dette værktøj på arbejde, privat og i foreninger. Du må redigere indhold og ændre opsætning. Du må dele dit arbejde med kolleger, kunder, familie osv. Jeg håber dog, at du vil være </t>
    </r>
    <r>
      <rPr>
        <b/>
        <sz val="10"/>
        <rFont val="Verdana"/>
        <family val="2"/>
      </rPr>
      <t>fair</t>
    </r>
    <r>
      <rPr>
        <sz val="10"/>
        <color rgb="FF000000"/>
        <rFont val="Verdana"/>
        <family val="2"/>
      </rPr>
      <t xml:space="preserve"> i din brug.</t>
    </r>
  </si>
  <si>
    <t>Tak for din interesse for denne xlEasy løsning. Jeg håber, det bliver til glæde og nytte. Alt er tilrettelagt, så du får den bedst mulige oplevelse. Det indebærer bl.a., at der ikke er begænsninger, der gør det besværligt at tage løsningen i brug eller irriterer, når du arbejder.</t>
  </si>
  <si>
    <r>
      <t>Brug for flere funktioner? Ring 20 11 22 10 og spørg.</t>
    </r>
    <r>
      <rPr>
        <sz val="12"/>
        <color theme="0"/>
        <rFont val="Segoe UI Light"/>
        <family val="2"/>
      </rPr>
      <t xml:space="preserve">
Det er nemt og helt uforpligtende.
Ring på tlf. </t>
    </r>
    <r>
      <rPr>
        <b/>
        <sz val="12"/>
        <color theme="0"/>
        <rFont val="Segoe UI Light"/>
        <family val="2"/>
      </rPr>
      <t>20 11 22 10</t>
    </r>
    <r>
      <rPr>
        <sz val="12"/>
        <color theme="0"/>
        <rFont val="Segoe UI Light"/>
        <family val="2"/>
      </rPr>
      <t xml:space="preserve"> og aftalt et tidspunkt.</t>
    </r>
  </si>
  <si>
    <t>G</t>
  </si>
  <si>
    <t xml:space="preserve">Hold </t>
  </si>
  <si>
    <t>Points</t>
  </si>
  <si>
    <t>Målforsk</t>
  </si>
  <si>
    <t>Regnskab</t>
  </si>
  <si>
    <t>Holdnavn</t>
  </si>
  <si>
    <t>Pl</t>
  </si>
  <si>
    <t>1 Points</t>
  </si>
  <si>
    <t>2 Målforsk</t>
  </si>
  <si>
    <t>3 Mål</t>
  </si>
  <si>
    <t>Holdnr</t>
  </si>
  <si>
    <t>Ranking</t>
  </si>
  <si>
    <t>Antal scorede mål</t>
  </si>
  <si>
    <t>Tastet rækkefølge på Indstillinger</t>
  </si>
  <si>
    <t>Hold uden spillede kampe vises nederst.</t>
  </si>
  <si>
    <t>Placerings- og visningsregler</t>
  </si>
  <si>
    <t>Målforskel</t>
  </si>
  <si>
    <t>Samlet</t>
  </si>
  <si>
    <t>Turneringsinfo</t>
  </si>
  <si>
    <t>Plads</t>
  </si>
  <si>
    <t>Kampstart-til-kampstart (minutter)</t>
  </si>
  <si>
    <t>PlaceCalc</t>
  </si>
  <si>
    <t>På arket 'Indstillinger' taster du holdnavne.</t>
  </si>
  <si>
    <t>De dukker automatisk på på arket med turneringsplaner.</t>
  </si>
  <si>
    <t>Turneringsplanerne er navngivet AntalHoldxAntalRunder. 8x2 betyder altså</t>
  </si>
  <si>
    <t>at 8 hold spiller 2 gange mod hinanden.</t>
  </si>
  <si>
    <t>Kampoversigterne dannes også automatisk.</t>
  </si>
  <si>
    <t>For at færdiggøre kampprogrammet, kan du evt.</t>
  </si>
  <si>
    <t>udfylde Dato, Tid og Bane.</t>
  </si>
  <si>
    <t>Kolonnen tid kan udfyldes automatisk: Skriv første kampstart i cellen med *.</t>
  </si>
  <si>
    <t>Når en kamp er færdig, taster du resultatet i 'Mål 1' og 'Mål 2'.</t>
  </si>
  <si>
    <t>Points beregnes automatisk ud fra dine valg på arket 'Indstillinger'.</t>
  </si>
  <si>
    <t>Finale (Guldkamp) og semifinale (Branzekamp): Du kan skjule dem, hvis ikke de bruges.</t>
  </si>
  <si>
    <t>Du skal selv vælge holdene til finale og semifinale. Resultaterne indgår ikke i den samlede stilling.</t>
  </si>
  <si>
    <t>Skjul eller slet: Fjern arkbeskyttelse og skjul eller slet rækkerne.</t>
  </si>
  <si>
    <t>De øvrige tidspunkter indsættes automatisk frem til næste *.</t>
  </si>
  <si>
    <r>
      <t xml:space="preserve">og points. </t>
    </r>
    <r>
      <rPr>
        <b/>
        <sz val="10"/>
        <rFont val="Verdana"/>
        <family val="2"/>
      </rPr>
      <t>Placeringerne</t>
    </r>
    <r>
      <rPr>
        <sz val="10"/>
        <rFont val="Verdana"/>
        <family val="2"/>
      </rPr>
      <t xml:space="preserve"> (rækkefølgen) opdateres</t>
    </r>
  </si>
  <si>
    <t>efter hver kamp. Se reglerne på arket 'Indstillinger'.</t>
  </si>
  <si>
    <t>https://www.dbu.dk/turneringer-og-resultater/love-og-regler/faelles-turneringsregler/</t>
  </si>
  <si>
    <t>På arket 'Indstillinger' er vist de regler for placering, der anvendes i alle turneringsformater her.</t>
  </si>
  <si>
    <t>Nr. 4: Hvis to hold har identisk score-koefficient, vises holdene i den rækkefølge de er tastet på 'Indstillinger'.</t>
  </si>
  <si>
    <t>Nr. 5: Alle hold er placeret nederst i tabellen indtil kampene spilles.</t>
  </si>
  <si>
    <t>Hos de enkelte forbund indenfor vandpolo, håndbold, fodbold osv. er der mange spændende finurligheder. Se f.eks. hvad DBU skriver:</t>
  </si>
  <si>
    <t>Forårsstævne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</si>
</sst>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
    <numFmt numFmtId="166" formatCode="hh:mm;@"/>
    <numFmt numFmtId="167" formatCode="0\ &quot;min&quot;"/>
    <numFmt numFmtId="168" formatCode="[$-F400]h:mm:ss\ AM/PM"/>
    <numFmt numFmtId="169" formatCode="0.0"/>
  </numFmts>
  <fonts count="60" x14ac:knownFonts="1">
    <font>
      <sz val="10"/>
      <color rgb="FF00000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2"/>
      <color rgb="FF000000"/>
      <name val="Trebuchet MS"/>
      <family val="2"/>
    </font>
    <font>
      <b/>
      <sz val="10"/>
      <color rgb="FF000000"/>
      <name val="Trebuchet MS"/>
      <family val="2"/>
    </font>
    <font>
      <sz val="10"/>
      <color theme="1"/>
      <name val="Consolas"/>
      <family val="3"/>
    </font>
    <font>
      <b/>
      <sz val="10"/>
      <name val="Verdana"/>
      <family val="2"/>
    </font>
    <font>
      <sz val="12"/>
      <color theme="1"/>
      <name val="Consolas"/>
      <family val="3"/>
    </font>
    <font>
      <i/>
      <sz val="12"/>
      <color theme="1"/>
      <name val="Consolas"/>
      <family val="3"/>
    </font>
    <font>
      <sz val="11"/>
      <color rgb="FF000000"/>
      <name val="Verdana"/>
      <family val="2"/>
    </font>
    <font>
      <sz val="10"/>
      <color rgb="FF000000"/>
      <name val="Consolas"/>
      <family val="3"/>
    </font>
    <font>
      <sz val="13"/>
      <name val="Consolas"/>
      <family val="3"/>
    </font>
    <font>
      <b/>
      <sz val="10"/>
      <name val="Arial"/>
      <family val="2"/>
    </font>
    <font>
      <sz val="11"/>
      <name val="Verdana"/>
      <family val="2"/>
    </font>
    <font>
      <sz val="11"/>
      <name val="Consolas"/>
      <family val="3"/>
    </font>
    <font>
      <b/>
      <sz val="13"/>
      <name val="Consolas"/>
      <family val="3"/>
    </font>
    <font>
      <b/>
      <sz val="11"/>
      <name val="Verdana"/>
      <family val="2"/>
    </font>
    <font>
      <b/>
      <sz val="18"/>
      <color indexed="9"/>
      <name val="Segoe UI Light"/>
      <family val="2"/>
    </font>
    <font>
      <b/>
      <sz val="16"/>
      <color indexed="9"/>
      <name val="Segoe UI Light"/>
      <family val="2"/>
    </font>
    <font>
      <sz val="12"/>
      <color indexed="9"/>
      <name val="Verdana"/>
      <family val="2"/>
    </font>
    <font>
      <sz val="12"/>
      <color rgb="FFFFFFFF"/>
      <name val="Segoe UI"/>
      <family val="2"/>
    </font>
    <font>
      <sz val="12"/>
      <color theme="0"/>
      <name val="Segoe UI"/>
      <family val="2"/>
    </font>
    <font>
      <sz val="10"/>
      <name val="Verdana"/>
      <family val="2"/>
    </font>
    <font>
      <sz val="10"/>
      <color indexed="10"/>
      <name val="Consolas"/>
      <family val="3"/>
    </font>
    <font>
      <b/>
      <sz val="11"/>
      <color theme="0"/>
      <name val="Arial Black"/>
      <family val="2"/>
    </font>
    <font>
      <u/>
      <sz val="11"/>
      <color theme="4"/>
      <name val="Calibri"/>
      <family val="2"/>
      <scheme val="minor"/>
    </font>
    <font>
      <sz val="9"/>
      <color rgb="FF000000"/>
      <name val="Arial Narrow"/>
      <family val="2"/>
    </font>
    <font>
      <sz val="11"/>
      <color rgb="FF000000"/>
      <name val="Consolas"/>
      <family val="3"/>
    </font>
    <font>
      <b/>
      <sz val="10"/>
      <color rgb="FF000000"/>
      <name val="Verdana"/>
      <family val="2"/>
    </font>
    <font>
      <sz val="12"/>
      <color indexed="9"/>
      <name val="Segoe UI Light"/>
      <family val="2"/>
    </font>
    <font>
      <b/>
      <sz val="12"/>
      <color theme="0"/>
      <name val="Segoe UI Light"/>
      <family val="2"/>
    </font>
    <font>
      <sz val="12"/>
      <color theme="0"/>
      <name val="Segoe UI Light"/>
      <family val="2"/>
    </font>
    <font>
      <u/>
      <sz val="11"/>
      <name val="Segoe UI"/>
      <family val="2"/>
    </font>
    <font>
      <sz val="20"/>
      <color theme="1"/>
      <name val="Verdana"/>
      <family val="2"/>
    </font>
    <font>
      <sz val="15"/>
      <color theme="0"/>
      <name val="Segoe UI"/>
      <family val="2"/>
    </font>
    <font>
      <b/>
      <sz val="12"/>
      <color rgb="FF785E1E"/>
      <name val="Verdana"/>
      <family val="2"/>
    </font>
    <font>
      <b/>
      <sz val="12"/>
      <color rgb="FF593D21"/>
      <name val="Verdana"/>
      <family val="2"/>
    </font>
    <font>
      <b/>
      <sz val="10"/>
      <color theme="0"/>
      <name val="Verdana"/>
      <family val="2"/>
    </font>
    <font>
      <sz val="10"/>
      <color theme="0"/>
      <name val="Verdana"/>
      <family val="2"/>
    </font>
    <font>
      <sz val="10"/>
      <name val="Arial Narrow"/>
      <family val="2"/>
    </font>
    <font>
      <i/>
      <sz val="10"/>
      <color rgb="FF000000"/>
      <name val="Verdana"/>
      <family val="2"/>
    </font>
    <font>
      <sz val="10"/>
      <color rgb="FF000000"/>
      <name val="Verdana"/>
      <family val="2"/>
    </font>
    <font>
      <sz val="18"/>
      <color rgb="FF595959"/>
      <name val="Calibri Light"/>
      <family val="2"/>
      <scheme val="major"/>
    </font>
    <font>
      <sz val="18"/>
      <color rgb="FF000000"/>
      <name val="Trebuchet MS"/>
      <family val="2"/>
    </font>
    <font>
      <sz val="11"/>
      <color rgb="FFFFFFFF"/>
      <name val="Calibri"/>
      <family val="2"/>
      <scheme val="minor"/>
    </font>
    <font>
      <sz val="11"/>
      <color rgb="FF000000"/>
      <name val="Calibri"/>
      <family val="2"/>
      <scheme val="minor"/>
    </font>
    <font>
      <sz val="14"/>
      <color rgb="FF000000"/>
      <name val="Verdana"/>
      <family val="2"/>
    </font>
    <font>
      <sz val="11"/>
      <color theme="1"/>
      <name val="Verdana"/>
      <family val="2"/>
    </font>
    <font>
      <sz val="11"/>
      <name val="Arial"/>
      <family val="2"/>
    </font>
    <font>
      <b/>
      <sz val="11"/>
      <color theme="6" tint="-0.249977111117893"/>
      <name val="Verdana"/>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rgb="FF195834"/>
        <bgColor indexed="64"/>
      </patternFill>
    </fill>
    <fill>
      <patternFill patternType="solid">
        <fgColor theme="1"/>
        <bgColor indexed="64"/>
      </patternFill>
    </fill>
    <fill>
      <patternFill patternType="solid">
        <fgColor rgb="FF32764F"/>
        <bgColor indexed="64"/>
      </patternFill>
    </fill>
    <fill>
      <patternFill patternType="solid">
        <fgColor theme="9"/>
        <bgColor indexed="64"/>
      </patternFill>
    </fill>
    <fill>
      <patternFill patternType="solid">
        <fgColor indexed="9"/>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theme="1" tint="0.34998626667073579"/>
        <bgColor indexed="64"/>
      </patternFill>
    </fill>
    <fill>
      <patternFill patternType="solid">
        <fgColor theme="9" tint="0.79998168889431442"/>
        <bgColor indexed="65"/>
      </patternFill>
    </fill>
    <fill>
      <patternFill patternType="solid">
        <fgColor theme="9" tint="0.79998168889431442"/>
        <bgColor indexed="64"/>
      </patternFill>
    </fill>
    <fill>
      <patternFill patternType="solid">
        <fgColor theme="8"/>
        <bgColor indexed="64"/>
      </patternFill>
    </fill>
    <fill>
      <patternFill patternType="solid">
        <fgColor rgb="FFBB844C"/>
        <bgColor indexed="64"/>
      </patternFill>
    </fill>
    <fill>
      <patternFill patternType="solid">
        <fgColor rgb="FFD3AE51"/>
        <bgColor indexed="64"/>
      </patternFill>
    </fill>
    <fill>
      <patternFill patternType="solid">
        <fgColor theme="4"/>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67F08"/>
      </patternFill>
    </fill>
    <fill>
      <patternFill patternType="solid">
        <fgColor rgb="FFE31B46"/>
      </patternFill>
    </fill>
    <fill>
      <patternFill patternType="solid">
        <fgColor rgb="FF6492CA"/>
      </patternFill>
    </fill>
    <fill>
      <patternFill patternType="solid">
        <fgColor rgb="FF9D66AC"/>
      </patternFill>
    </fill>
    <fill>
      <patternFill patternType="solid">
        <fgColor rgb="FFE6FE00"/>
      </patternFill>
    </fill>
    <fill>
      <patternFill patternType="solid">
        <fgColor rgb="FF32764F"/>
      </patternFill>
    </fill>
    <fill>
      <patternFill patternType="solid">
        <fgColor theme="4" tint="0.59999389629810485"/>
        <bgColor indexed="64"/>
      </patternFill>
    </fill>
    <fill>
      <patternFill patternType="solid">
        <fgColor theme="0" tint="-0.34998626667073579"/>
        <bgColor indexed="64"/>
      </patternFill>
    </fill>
    <fill>
      <patternFill patternType="solid">
        <fgColor theme="8" tint="0.79998168889431442"/>
        <bgColor indexed="64"/>
      </patternFill>
    </fill>
  </fills>
  <borders count="7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indexed="64"/>
      </top>
      <bottom style="thin">
        <color theme="1" tint="0.49998474074526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indexed="64"/>
      </bottom>
      <diagonal/>
    </border>
    <border>
      <left/>
      <right/>
      <top/>
      <bottom style="medium">
        <color theme="6" tint="-0.499984740745262"/>
      </bottom>
      <diagonal/>
    </border>
    <border>
      <left/>
      <right/>
      <top style="medium">
        <color theme="6" tint="-0.499984740745262"/>
      </top>
      <bottom style="medium">
        <color theme="6" tint="-0.499984740745262"/>
      </bottom>
      <diagonal/>
    </border>
    <border>
      <left/>
      <right/>
      <top style="thin">
        <color indexed="64"/>
      </top>
      <bottom/>
      <diagonal/>
    </border>
    <border>
      <left/>
      <right/>
      <top style="medium">
        <color theme="0" tint="-0.24994659260841701"/>
      </top>
      <bottom style="medium">
        <color theme="0" tint="-0.24994659260841701"/>
      </bottom>
      <diagonal/>
    </border>
    <border>
      <left/>
      <right/>
      <top style="medium">
        <color theme="0"/>
      </top>
      <bottom style="medium">
        <color theme="0"/>
      </bottom>
      <diagonal/>
    </border>
    <border>
      <left/>
      <right/>
      <top style="thin">
        <color theme="6"/>
      </top>
      <bottom style="thin">
        <color theme="6"/>
      </bottom>
      <diagonal/>
    </border>
    <border>
      <left/>
      <right/>
      <top/>
      <bottom style="medium">
        <color theme="9" tint="0.39991454817346722"/>
      </bottom>
      <diagonal/>
    </border>
    <border>
      <left/>
      <right/>
      <top style="medium">
        <color theme="9" tint="0.39991454817346722"/>
      </top>
      <bottom style="medium">
        <color theme="9" tint="0.39991454817346722"/>
      </bottom>
      <diagonal/>
    </border>
    <border>
      <left/>
      <right/>
      <top/>
      <bottom style="thin">
        <color theme="2" tint="-0.24994659260841701"/>
      </bottom>
      <diagonal/>
    </border>
    <border>
      <left/>
      <right/>
      <top style="thin">
        <color indexed="64"/>
      </top>
      <bottom style="thin">
        <color theme="2" tint="-0.24994659260841701"/>
      </bottom>
      <diagonal/>
    </border>
    <border>
      <left style="medium">
        <color rgb="FF00B050"/>
      </left>
      <right style="medium">
        <color rgb="FF00B050"/>
      </right>
      <top style="medium">
        <color rgb="FF00B050"/>
      </top>
      <bottom style="thin">
        <color theme="2" tint="-0.24994659260841701"/>
      </bottom>
      <diagonal/>
    </border>
    <border>
      <left/>
      <right/>
      <top style="thin">
        <color theme="2" tint="-0.24994659260841701"/>
      </top>
      <bottom style="thin">
        <color theme="2" tint="-0.24994659260841701"/>
      </bottom>
      <diagonal/>
    </border>
    <border>
      <left/>
      <right/>
      <top style="thin">
        <color theme="2" tint="-0.24994659260841701"/>
      </top>
      <bottom style="medium">
        <color theme="2" tint="-0.24994659260841701"/>
      </bottom>
      <diagonal/>
    </border>
    <border>
      <left style="thin">
        <color theme="4"/>
      </left>
      <right/>
      <top style="thin">
        <color theme="0" tint="-0.24994659260841701"/>
      </top>
      <bottom style="thin">
        <color theme="0" tint="-0.24994659260841701"/>
      </bottom>
      <diagonal/>
    </border>
    <border>
      <left style="thin">
        <color theme="0"/>
      </left>
      <right style="thin">
        <color theme="0"/>
      </right>
      <top style="thin">
        <color theme="6"/>
      </top>
      <bottom style="thin">
        <color theme="6"/>
      </bottom>
      <diagonal/>
    </border>
    <border>
      <left style="medium">
        <color theme="4"/>
      </left>
      <right style="medium">
        <color theme="4"/>
      </right>
      <top style="medium">
        <color theme="4"/>
      </top>
      <bottom style="medium">
        <color theme="4"/>
      </bottom>
      <diagonal/>
    </border>
    <border>
      <left/>
      <right/>
      <top style="thin">
        <color rgb="FF000000"/>
      </top>
      <bottom style="double">
        <color rgb="FF000000"/>
      </bottom>
      <diagonal/>
    </border>
    <border>
      <left/>
      <right/>
      <top style="hair">
        <color auto="1"/>
      </top>
      <bottom style="hair">
        <color auto="1"/>
      </bottom>
      <diagonal/>
    </border>
    <border>
      <left/>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6" tint="-0.24994659260841701"/>
      </left>
      <right/>
      <top style="thin">
        <color theme="0" tint="-0.499984740745262"/>
      </top>
      <bottom style="thin">
        <color theme="0" tint="-0.499984740745262"/>
      </bottom>
      <diagonal/>
    </border>
    <border>
      <left/>
      <right style="medium">
        <color theme="6" tint="-0.24994659260841701"/>
      </right>
      <top style="thin">
        <color theme="0" tint="-0.499984740745262"/>
      </top>
      <bottom style="thin">
        <color theme="0" tint="-0.499984740745262"/>
      </bottom>
      <diagonal/>
    </border>
    <border>
      <left style="medium">
        <color theme="6" tint="-0.24994659260841701"/>
      </left>
      <right/>
      <top style="thin">
        <color theme="0" tint="-0.499984740745262"/>
      </top>
      <bottom style="medium">
        <color theme="0" tint="-0.499984740745262"/>
      </bottom>
      <diagonal/>
    </border>
    <border>
      <left/>
      <right style="medium">
        <color theme="6" tint="-0.24994659260841701"/>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hair">
        <color theme="1" tint="0.499984740745262"/>
      </left>
      <right/>
      <top style="thin">
        <color theme="0" tint="-0.499984740745262"/>
      </top>
      <bottom style="thin">
        <color theme="0" tint="-0.499984740745262"/>
      </bottom>
      <diagonal/>
    </border>
    <border>
      <left/>
      <right style="hair">
        <color theme="1" tint="0.499984740745262"/>
      </right>
      <top style="thin">
        <color theme="0" tint="-0.499984740745262"/>
      </top>
      <bottom style="thin">
        <color theme="0" tint="-0.499984740745262"/>
      </bottom>
      <diagonal/>
    </border>
    <border>
      <left/>
      <right style="hair">
        <color theme="1" tint="0.499984740745262"/>
      </right>
      <top style="thin">
        <color theme="0" tint="-0.499984740745262"/>
      </top>
      <bottom style="medium">
        <color theme="0" tint="-0.499984740745262"/>
      </bottom>
      <diagonal/>
    </border>
    <border>
      <left style="hair">
        <color theme="1" tint="0.499984740745262"/>
      </left>
      <right/>
      <top style="thin">
        <color theme="0" tint="-0.499984740745262"/>
      </top>
      <bottom style="medium">
        <color theme="0" tint="-0.499984740745262"/>
      </bottom>
      <diagonal/>
    </border>
    <border>
      <left/>
      <right/>
      <top/>
      <bottom style="thin">
        <color theme="0" tint="-0.499984740745262"/>
      </bottom>
      <diagonal/>
    </border>
    <border>
      <left style="medium">
        <color theme="6" tint="-0.24994659260841701"/>
      </left>
      <right/>
      <top/>
      <bottom style="thin">
        <color theme="0" tint="-0.499984740745262"/>
      </bottom>
      <diagonal/>
    </border>
    <border>
      <left/>
      <right style="hair">
        <color theme="1" tint="0.499984740745262"/>
      </right>
      <top/>
      <bottom style="thin">
        <color theme="0" tint="-0.499984740745262"/>
      </bottom>
      <diagonal/>
    </border>
    <border>
      <left style="hair">
        <color theme="1" tint="0.499984740745262"/>
      </left>
      <right/>
      <top/>
      <bottom style="thin">
        <color theme="0" tint="-0.499984740745262"/>
      </bottom>
      <diagonal/>
    </border>
    <border>
      <left/>
      <right style="medium">
        <color theme="6" tint="-0.24994659260841701"/>
      </right>
      <top/>
      <bottom style="thin">
        <color theme="0" tint="-0.499984740745262"/>
      </bottom>
      <diagonal/>
    </border>
    <border>
      <left/>
      <right/>
      <top style="thin">
        <color theme="0" tint="-0.499984740745262"/>
      </top>
      <bottom style="thick">
        <color theme="6"/>
      </bottom>
      <diagonal/>
    </border>
    <border>
      <left style="medium">
        <color theme="6" tint="-0.24994659260841701"/>
      </left>
      <right/>
      <top style="thin">
        <color theme="0" tint="-0.499984740745262"/>
      </top>
      <bottom style="thick">
        <color theme="6"/>
      </bottom>
      <diagonal/>
    </border>
    <border>
      <left/>
      <right style="hair">
        <color theme="1" tint="0.499984740745262"/>
      </right>
      <top style="thin">
        <color theme="0" tint="-0.499984740745262"/>
      </top>
      <bottom style="thick">
        <color theme="6"/>
      </bottom>
      <diagonal/>
    </border>
    <border>
      <left style="hair">
        <color theme="1" tint="0.499984740745262"/>
      </left>
      <right/>
      <top style="thin">
        <color theme="0" tint="-0.499984740745262"/>
      </top>
      <bottom style="thick">
        <color theme="6"/>
      </bottom>
      <diagonal/>
    </border>
    <border>
      <left/>
      <right style="medium">
        <color theme="6" tint="-0.24994659260841701"/>
      </right>
      <top style="thin">
        <color theme="0" tint="-0.499984740745262"/>
      </top>
      <bottom style="thick">
        <color theme="6"/>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hair">
        <color theme="1" tint="0.499984740745262"/>
      </right>
      <top style="medium">
        <color theme="6" tint="-0.24994659260841701"/>
      </top>
      <bottom style="medium">
        <color theme="6" tint="-0.24994659260841701"/>
      </bottom>
      <diagonal/>
    </border>
    <border>
      <left style="hair">
        <color theme="1" tint="0.499984740745262"/>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right/>
      <top/>
      <bottom style="medium">
        <color theme="6" tint="-0.24994659260841701"/>
      </bottom>
      <diagonal/>
    </border>
    <border>
      <left/>
      <right/>
      <top style="thin">
        <color theme="0" tint="-0.499984740745262"/>
      </top>
      <bottom style="thin">
        <color theme="0" tint="-0.34998626667073579"/>
      </bottom>
      <diagonal/>
    </border>
    <border>
      <left style="medium">
        <color theme="6" tint="-0.24994659260841701"/>
      </left>
      <right/>
      <top/>
      <bottom style="thin">
        <color theme="0" tint="-0.34998626667073579"/>
      </bottom>
      <diagonal/>
    </border>
    <border>
      <left/>
      <right/>
      <top/>
      <bottom style="thin">
        <color theme="0" tint="-0.34998626667073579"/>
      </bottom>
      <diagonal/>
    </border>
    <border>
      <left/>
      <right style="hair">
        <color theme="1" tint="0.499984740745262"/>
      </right>
      <top/>
      <bottom style="thin">
        <color theme="0" tint="-0.34998626667073579"/>
      </bottom>
      <diagonal/>
    </border>
    <border>
      <left style="hair">
        <color theme="1" tint="0.499984740745262"/>
      </left>
      <right/>
      <top/>
      <bottom style="thin">
        <color theme="0" tint="-0.34998626667073579"/>
      </bottom>
      <diagonal/>
    </border>
    <border>
      <left/>
      <right style="medium">
        <color theme="6" tint="-0.24994659260841701"/>
      </right>
      <top/>
      <bottom style="thin">
        <color theme="0" tint="-0.34998626667073579"/>
      </bottom>
      <diagonal/>
    </border>
    <border>
      <left/>
      <right/>
      <top style="thin">
        <color theme="0" tint="-0.34998626667073579"/>
      </top>
      <bottom style="thin">
        <color theme="0" tint="-0.34998626667073579"/>
      </bottom>
      <diagonal/>
    </border>
    <border>
      <left style="medium">
        <color theme="6" tint="-0.24994659260841701"/>
      </left>
      <right/>
      <top style="thin">
        <color theme="0" tint="-0.34998626667073579"/>
      </top>
      <bottom style="thin">
        <color theme="0" tint="-0.34998626667073579"/>
      </bottom>
      <diagonal/>
    </border>
    <border>
      <left/>
      <right style="hair">
        <color theme="1" tint="0.499984740745262"/>
      </right>
      <top style="thin">
        <color theme="0" tint="-0.34998626667073579"/>
      </top>
      <bottom style="thin">
        <color theme="0" tint="-0.34998626667073579"/>
      </bottom>
      <diagonal/>
    </border>
    <border>
      <left style="hair">
        <color theme="1" tint="0.499984740745262"/>
      </left>
      <right/>
      <top style="thin">
        <color theme="0" tint="-0.34998626667073579"/>
      </top>
      <bottom style="thin">
        <color theme="0" tint="-0.34998626667073579"/>
      </bottom>
      <diagonal/>
    </border>
    <border>
      <left/>
      <right style="medium">
        <color theme="6" tint="-0.24994659260841701"/>
      </right>
      <top style="thin">
        <color theme="0" tint="-0.34998626667073579"/>
      </top>
      <bottom style="thin">
        <color theme="0" tint="-0.34998626667073579"/>
      </bottom>
      <diagonal/>
    </border>
    <border>
      <left/>
      <right/>
      <top style="thin">
        <color theme="0" tint="-0.34998626667073579"/>
      </top>
      <bottom style="thick">
        <color theme="6"/>
      </bottom>
      <diagonal/>
    </border>
    <border>
      <left style="medium">
        <color theme="6" tint="-0.24994659260841701"/>
      </left>
      <right/>
      <top style="thin">
        <color theme="0" tint="-0.34998626667073579"/>
      </top>
      <bottom style="thick">
        <color theme="6"/>
      </bottom>
      <diagonal/>
    </border>
    <border>
      <left/>
      <right style="hair">
        <color theme="1" tint="0.499984740745262"/>
      </right>
      <top style="thin">
        <color theme="0" tint="-0.34998626667073579"/>
      </top>
      <bottom style="thick">
        <color theme="6"/>
      </bottom>
      <diagonal/>
    </border>
    <border>
      <left style="hair">
        <color theme="1" tint="0.499984740745262"/>
      </left>
      <right/>
      <top style="thin">
        <color theme="0" tint="-0.34998626667073579"/>
      </top>
      <bottom style="thick">
        <color theme="6"/>
      </bottom>
      <diagonal/>
    </border>
    <border>
      <left/>
      <right style="medium">
        <color theme="6" tint="-0.24994659260841701"/>
      </right>
      <top style="thin">
        <color theme="0" tint="-0.34998626667073579"/>
      </top>
      <bottom style="thick">
        <color theme="6"/>
      </bottom>
      <diagonal/>
    </border>
  </borders>
  <cellStyleXfs count="48">
    <xf numFmtId="0" fontId="0" fillId="0" borderId="0"/>
    <xf numFmtId="0" fontId="53" fillId="8" borderId="0" applyNumberFormat="0" applyProtection="0"/>
    <xf numFmtId="0" fontId="30" fillId="15" borderId="0" applyNumberFormat="0" applyProtection="0">
      <alignment vertical="center"/>
    </xf>
    <xf numFmtId="0" fontId="13" fillId="8" borderId="0" applyNumberFormat="0" applyAlignment="0" applyProtection="0"/>
    <xf numFmtId="0" fontId="14" fillId="0" borderId="0" applyNumberFormat="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5" borderId="1" applyNumberFormat="0" applyAlignment="0" applyProtection="0"/>
    <xf numFmtId="0" fontId="9" fillId="0" borderId="3" applyNumberFormat="0" applyFill="0" applyAlignment="0" applyProtection="0"/>
    <xf numFmtId="0" fontId="10" fillId="6" borderId="4" applyNumberFormat="0" applyAlignment="0" applyProtection="0"/>
    <xf numFmtId="0" fontId="11" fillId="0" borderId="0" applyNumberFormat="0" applyFill="0" applyBorder="0" applyAlignment="0" applyProtection="0"/>
    <xf numFmtId="0" fontId="3" fillId="7" borderId="5" applyNumberFormat="0" applyFont="0" applyAlignment="0" applyProtection="0"/>
    <xf numFmtId="0" fontId="12" fillId="0" borderId="0" applyNumberFormat="0" applyFill="0" applyBorder="0" applyAlignment="0" applyProtection="0"/>
    <xf numFmtId="0" fontId="19" fillId="8" borderId="0" applyNumberFormat="0" applyBorder="0">
      <alignment vertical="center"/>
    </xf>
    <xf numFmtId="1" fontId="21" fillId="0" borderId="0" applyFill="0" applyBorder="0" applyAlignment="0" applyProtection="0">
      <alignment horizontal="center" vertical="center"/>
    </xf>
    <xf numFmtId="1" fontId="24" fillId="0" borderId="0" applyBorder="0" applyAlignment="0" applyProtection="0">
      <alignment horizontal="center" vertical="center"/>
    </xf>
    <xf numFmtId="165" fontId="24" fillId="0" borderId="0" applyAlignment="0" applyProtection="0">
      <alignment horizontal="center" vertical="center"/>
    </xf>
    <xf numFmtId="166" fontId="24" fillId="0" borderId="0" applyAlignment="0" applyProtection="0">
      <alignment horizontal="center" vertical="center"/>
    </xf>
    <xf numFmtId="0" fontId="35" fillId="0" borderId="0" applyNumberFormat="0" applyFill="0" applyBorder="0" applyAlignment="0" applyProtection="0"/>
    <xf numFmtId="0" fontId="2" fillId="21" borderId="0" applyNumberFormat="0" applyBorder="0" applyAlignment="0" applyProtection="0"/>
    <xf numFmtId="0" fontId="51" fillId="0" borderId="26" applyNumberFormat="0" applyProtection="0">
      <alignment vertical="center"/>
    </xf>
    <xf numFmtId="0" fontId="52" fillId="8" borderId="0" applyNumberFormat="0" applyAlignment="0" applyProtection="0"/>
    <xf numFmtId="0" fontId="38" fillId="0" borderId="27" applyNumberFormat="0" applyAlignment="0" applyProtection="0"/>
    <xf numFmtId="0" fontId="54" fillId="46" borderId="0" applyNumberFormat="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4" fillId="47" borderId="0" applyNumberFormat="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4" fillId="48" borderId="0" applyNumberFormat="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4" fillId="49" borderId="0" applyNumberFormat="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5" fillId="50" borderId="0" applyNumberFormat="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54" fillId="51" borderId="0" applyNumberFormat="0" applyAlignment="0" applyProtection="0"/>
    <xf numFmtId="0" fontId="1" fillId="44" borderId="0" applyNumberFormat="0" applyBorder="0" applyAlignment="0" applyProtection="0"/>
    <xf numFmtId="0" fontId="1" fillId="45" borderId="0" applyNumberFormat="0" applyBorder="0" applyAlignment="0" applyProtection="0"/>
  </cellStyleXfs>
  <cellXfs count="186">
    <xf numFmtId="0" fontId="0" fillId="0" borderId="0" xfId="0"/>
    <xf numFmtId="0" fontId="0" fillId="10" borderId="9" xfId="0" applyFill="1" applyBorder="1" applyAlignment="1">
      <alignment vertical="center"/>
    </xf>
    <xf numFmtId="0" fontId="13" fillId="0" borderId="0" xfId="3" applyFill="1"/>
    <xf numFmtId="0" fontId="0" fillId="9" borderId="0" xfId="0" applyFill="1"/>
    <xf numFmtId="164" fontId="0" fillId="0" borderId="0" xfId="0" applyNumberFormat="1"/>
    <xf numFmtId="0" fontId="0" fillId="0" borderId="0" xfId="0" applyProtection="1">
      <protection locked="0"/>
    </xf>
    <xf numFmtId="0" fontId="15" fillId="0" borderId="0" xfId="0" applyFont="1" applyAlignment="1">
      <alignment horizontal="center" vertical="center"/>
    </xf>
    <xf numFmtId="0" fontId="15" fillId="10" borderId="0" xfId="0" quotePrefix="1" applyFont="1" applyFill="1" applyAlignment="1">
      <alignment horizontal="center"/>
    </xf>
    <xf numFmtId="0" fontId="17" fillId="9" borderId="6" xfId="0" applyFont="1" applyFill="1" applyBorder="1" applyAlignment="1">
      <alignment horizontal="center" vertical="center"/>
    </xf>
    <xf numFmtId="0" fontId="18" fillId="11" borderId="6" xfId="0" applyFont="1" applyFill="1" applyBorder="1" applyAlignment="1">
      <alignment horizontal="center" vertical="center"/>
    </xf>
    <xf numFmtId="0" fontId="15" fillId="10" borderId="7" xfId="0" applyFont="1" applyFill="1" applyBorder="1" applyAlignment="1">
      <alignment horizontal="center"/>
    </xf>
    <xf numFmtId="0" fontId="20" fillId="8" borderId="0" xfId="15" applyFont="1" applyAlignment="1">
      <alignment horizontal="center" vertical="center"/>
    </xf>
    <xf numFmtId="0" fontId="22" fillId="0" borderId="0" xfId="0" applyFont="1"/>
    <xf numFmtId="0" fontId="0" fillId="0" borderId="0" xfId="0" applyAlignment="1">
      <alignment horizontal="center" vertical="center"/>
    </xf>
    <xf numFmtId="1" fontId="0" fillId="0" borderId="0" xfId="0" applyNumberFormat="1"/>
    <xf numFmtId="0" fontId="0" fillId="12" borderId="0" xfId="0" applyFill="1" applyAlignment="1">
      <alignment vertical="center"/>
    </xf>
    <xf numFmtId="1" fontId="25" fillId="0" borderId="11" xfId="16" applyFont="1" applyBorder="1" applyAlignment="1" applyProtection="1">
      <alignment horizontal="center"/>
      <protection locked="0"/>
    </xf>
    <xf numFmtId="165" fontId="24" fillId="12" borderId="8" xfId="18" applyFill="1" applyBorder="1" applyProtection="1">
      <alignment horizontal="center" vertical="center"/>
      <protection locked="0"/>
    </xf>
    <xf numFmtId="1" fontId="25" fillId="0" borderId="12" xfId="16" applyFont="1" applyBorder="1" applyAlignment="1" applyProtection="1">
      <alignment horizontal="center"/>
      <protection locked="0"/>
    </xf>
    <xf numFmtId="0" fontId="0" fillId="0" borderId="13" xfId="0" applyBorder="1"/>
    <xf numFmtId="0" fontId="26" fillId="10" borderId="10" xfId="0" applyFont="1" applyFill="1" applyBorder="1"/>
    <xf numFmtId="1" fontId="21" fillId="0" borderId="14" xfId="16" applyBorder="1" applyAlignment="1">
      <alignment horizontal="center"/>
    </xf>
    <xf numFmtId="0" fontId="27" fillId="13" borderId="0" xfId="0" applyFont="1" applyFill="1" applyAlignment="1">
      <alignment vertical="center"/>
    </xf>
    <xf numFmtId="0" fontId="28" fillId="13" borderId="0" xfId="0" applyFont="1" applyFill="1" applyAlignment="1">
      <alignment horizontal="right" vertical="center"/>
    </xf>
    <xf numFmtId="0" fontId="29" fillId="14" borderId="15" xfId="0" applyFont="1" applyFill="1" applyBorder="1" applyAlignment="1">
      <alignment horizontal="left" vertical="center"/>
    </xf>
    <xf numFmtId="0" fontId="29" fillId="14" borderId="15" xfId="0" applyFont="1" applyFill="1" applyBorder="1" applyAlignment="1">
      <alignment horizontal="right" vertical="center"/>
    </xf>
    <xf numFmtId="0" fontId="0" fillId="17" borderId="0" xfId="0" applyFill="1"/>
    <xf numFmtId="0" fontId="32" fillId="17" borderId="0" xfId="0" applyFont="1" applyFill="1"/>
    <xf numFmtId="0" fontId="32" fillId="17" borderId="0" xfId="0" quotePrefix="1" applyFont="1" applyFill="1"/>
    <xf numFmtId="0" fontId="32" fillId="17" borderId="0" xfId="0" applyFont="1" applyFill="1" applyAlignment="1">
      <alignment horizontal="left" indent="3"/>
    </xf>
    <xf numFmtId="0" fontId="32" fillId="17" borderId="0" xfId="0" applyFont="1" applyFill="1" applyAlignment="1">
      <alignment horizontal="left" indent="20"/>
    </xf>
    <xf numFmtId="0" fontId="32" fillId="17" borderId="0" xfId="0" applyFont="1" applyFill="1" applyAlignment="1">
      <alignment horizontal="left" indent="15"/>
    </xf>
    <xf numFmtId="0" fontId="32" fillId="0" borderId="0" xfId="0" applyFont="1" applyAlignment="1">
      <alignment horizontal="left" indent="2"/>
    </xf>
    <xf numFmtId="0" fontId="32" fillId="0" borderId="0" xfId="0" applyFont="1"/>
    <xf numFmtId="0" fontId="0" fillId="0" borderId="0" xfId="0" applyAlignment="1">
      <alignment horizontal="center"/>
    </xf>
    <xf numFmtId="0" fontId="16" fillId="19" borderId="0" xfId="0" applyFont="1" applyFill="1" applyAlignment="1">
      <alignment horizontal="center"/>
    </xf>
    <xf numFmtId="1" fontId="25" fillId="0" borderId="18" xfId="16" applyFont="1" applyBorder="1" applyAlignment="1" applyProtection="1">
      <alignment horizontal="center"/>
      <protection locked="0"/>
    </xf>
    <xf numFmtId="0" fontId="34" fillId="20" borderId="0" xfId="0" applyFont="1" applyFill="1" applyAlignment="1">
      <alignment horizontal="center" vertical="center"/>
    </xf>
    <xf numFmtId="0" fontId="36" fillId="22" borderId="0" xfId="0" applyFont="1" applyFill="1" applyAlignment="1">
      <alignment horizontal="center" vertical="center"/>
    </xf>
    <xf numFmtId="0" fontId="37" fillId="11" borderId="0" xfId="0" applyFont="1" applyFill="1"/>
    <xf numFmtId="0" fontId="37" fillId="11" borderId="0" xfId="0" applyFont="1" applyFill="1" applyAlignment="1">
      <alignment horizontal="center"/>
    </xf>
    <xf numFmtId="0" fontId="24" fillId="11" borderId="10" xfId="0" applyFont="1" applyFill="1" applyBorder="1" applyAlignment="1">
      <alignment horizontal="right"/>
    </xf>
    <xf numFmtId="0" fontId="24" fillId="11" borderId="0" xfId="0" applyFont="1" applyFill="1" applyAlignment="1">
      <alignment horizontal="right"/>
    </xf>
    <xf numFmtId="0" fontId="24" fillId="11" borderId="0" xfId="0" applyFont="1" applyFill="1"/>
    <xf numFmtId="1" fontId="24" fillId="0" borderId="20" xfId="17" applyBorder="1" applyAlignment="1"/>
    <xf numFmtId="1" fontId="24" fillId="12" borderId="19" xfId="17" applyFill="1" applyBorder="1" applyAlignment="1"/>
    <xf numFmtId="1" fontId="24" fillId="12" borderId="20" xfId="17" applyFill="1" applyBorder="1" applyAlignment="1"/>
    <xf numFmtId="1" fontId="24" fillId="12" borderId="20" xfId="17" applyFill="1" applyBorder="1" applyAlignment="1">
      <alignment horizontal="right"/>
    </xf>
    <xf numFmtId="1" fontId="24" fillId="0" borderId="20" xfId="17" applyBorder="1" applyAlignment="1">
      <alignment horizontal="right"/>
    </xf>
    <xf numFmtId="165" fontId="24" fillId="11" borderId="21" xfId="18" applyFill="1" applyBorder="1" applyProtection="1">
      <alignment horizontal="center" vertical="center"/>
      <protection locked="0"/>
    </xf>
    <xf numFmtId="1" fontId="24" fillId="0" borderId="22" xfId="17" applyBorder="1" applyAlignment="1"/>
    <xf numFmtId="1" fontId="24" fillId="12" borderId="22" xfId="17" applyFill="1" applyBorder="1">
      <alignment horizontal="center" vertical="center"/>
    </xf>
    <xf numFmtId="1" fontId="24" fillId="12" borderId="22" xfId="17" applyFill="1" applyBorder="1" applyAlignment="1"/>
    <xf numFmtId="1" fontId="24" fillId="12" borderId="22" xfId="17" applyFill="1" applyBorder="1" applyAlignment="1">
      <alignment horizontal="right"/>
    </xf>
    <xf numFmtId="165" fontId="24" fillId="12" borderId="22" xfId="18" applyFill="1" applyBorder="1" applyProtection="1">
      <alignment horizontal="center" vertical="center"/>
      <protection locked="0"/>
    </xf>
    <xf numFmtId="0" fontId="37" fillId="11" borderId="10" xfId="0" applyFont="1" applyFill="1" applyBorder="1" applyAlignment="1">
      <alignment horizontal="right"/>
    </xf>
    <xf numFmtId="1" fontId="24" fillId="12" borderId="19" xfId="17" applyFill="1" applyBorder="1">
      <alignment horizontal="center" vertical="center"/>
    </xf>
    <xf numFmtId="1" fontId="24" fillId="0" borderId="19" xfId="17" applyBorder="1" applyAlignment="1"/>
    <xf numFmtId="1" fontId="24" fillId="12" borderId="19" xfId="17" applyFill="1" applyBorder="1" applyAlignment="1">
      <alignment horizontal="right"/>
    </xf>
    <xf numFmtId="165" fontId="24" fillId="12" borderId="19" xfId="18" applyFill="1" applyBorder="1" applyProtection="1">
      <alignment horizontal="center" vertical="center"/>
      <protection locked="0"/>
    </xf>
    <xf numFmtId="1" fontId="24" fillId="12" borderId="23" xfId="17" applyFill="1" applyBorder="1">
      <alignment horizontal="center" vertical="center"/>
    </xf>
    <xf numFmtId="1" fontId="24" fillId="0" borderId="23" xfId="17" applyBorder="1" applyAlignment="1"/>
    <xf numFmtId="1" fontId="24" fillId="12" borderId="23" xfId="17" applyFill="1" applyBorder="1" applyAlignment="1"/>
    <xf numFmtId="1" fontId="24" fillId="12" borderId="23" xfId="17" applyFill="1" applyBorder="1" applyAlignment="1">
      <alignment horizontal="right"/>
    </xf>
    <xf numFmtId="165" fontId="24" fillId="12" borderId="23" xfId="18" applyFill="1" applyBorder="1" applyProtection="1">
      <alignment horizontal="center" vertical="center"/>
      <protection locked="0"/>
    </xf>
    <xf numFmtId="165" fontId="24" fillId="11" borderId="0" xfId="18" applyFill="1" applyProtection="1">
      <alignment horizontal="center" vertical="center"/>
      <protection locked="0"/>
    </xf>
    <xf numFmtId="0" fontId="36" fillId="22" borderId="0" xfId="0" applyFont="1" applyFill="1" applyAlignment="1">
      <alignment horizontal="left" vertical="center"/>
    </xf>
    <xf numFmtId="0" fontId="36" fillId="22" borderId="0" xfId="0" applyFont="1" applyFill="1" applyAlignment="1">
      <alignment horizontal="right" vertical="center"/>
    </xf>
    <xf numFmtId="0" fontId="36" fillId="0" borderId="26" xfId="22" applyFont="1">
      <alignment vertical="center"/>
    </xf>
    <xf numFmtId="0" fontId="53" fillId="8" borderId="0" xfId="1" applyProtection="1">
      <protection locked="0"/>
    </xf>
    <xf numFmtId="0" fontId="43" fillId="0" borderId="0" xfId="0" applyFont="1"/>
    <xf numFmtId="0" fontId="0" fillId="0" borderId="0" xfId="0" applyAlignment="1">
      <alignment vertical="top" wrapText="1"/>
    </xf>
    <xf numFmtId="0" fontId="16" fillId="0" borderId="0" xfId="0" applyFont="1" applyAlignment="1">
      <alignment vertical="top" wrapText="1"/>
    </xf>
    <xf numFmtId="3" fontId="44" fillId="16" borderId="0" xfId="0" applyNumberFormat="1" applyFont="1" applyFill="1" applyAlignment="1">
      <alignment vertical="top"/>
    </xf>
    <xf numFmtId="3" fontId="44" fillId="16" borderId="0" xfId="0" applyNumberFormat="1" applyFont="1" applyFill="1" applyAlignment="1">
      <alignment vertical="center"/>
    </xf>
    <xf numFmtId="0" fontId="45" fillId="25" borderId="0" xfId="0" applyFont="1" applyFill="1" applyAlignment="1">
      <alignment horizontal="center" vertical="center"/>
    </xf>
    <xf numFmtId="0" fontId="46" fillId="24" borderId="0" xfId="0" applyFont="1" applyFill="1" applyAlignment="1">
      <alignment horizontal="center" vertical="center"/>
    </xf>
    <xf numFmtId="0" fontId="19" fillId="8" borderId="14" xfId="15" applyBorder="1" applyProtection="1">
      <alignment vertical="center"/>
      <protection locked="0"/>
    </xf>
    <xf numFmtId="165" fontId="24" fillId="11" borderId="0" xfId="18" applyFill="1">
      <alignment horizontal="center" vertical="center"/>
    </xf>
    <xf numFmtId="0" fontId="0" fillId="0" borderId="0" xfId="0" applyAlignment="1" applyProtection="1">
      <alignment horizontal="center" vertical="center"/>
      <protection locked="0"/>
    </xf>
    <xf numFmtId="0" fontId="0" fillId="0" borderId="18" xfId="0" applyBorder="1" applyProtection="1">
      <protection locked="0"/>
    </xf>
    <xf numFmtId="0" fontId="32" fillId="19" borderId="0" xfId="0" applyFont="1" applyFill="1" applyAlignment="1">
      <alignment horizontal="center"/>
    </xf>
    <xf numFmtId="1" fontId="32" fillId="18" borderId="16" xfId="16" applyFont="1" applyFill="1" applyBorder="1" applyAlignment="1">
      <alignment horizontal="center"/>
    </xf>
    <xf numFmtId="0" fontId="36" fillId="0" borderId="26" xfId="22" applyFont="1" applyAlignment="1">
      <alignment horizontal="center" vertical="center"/>
    </xf>
    <xf numFmtId="169" fontId="32" fillId="22" borderId="16" xfId="16" applyNumberFormat="1" applyFont="1" applyFill="1" applyBorder="1" applyAlignment="1">
      <alignment horizontal="center"/>
    </xf>
    <xf numFmtId="2" fontId="32" fillId="22" borderId="16" xfId="16" applyNumberFormat="1" applyFont="1" applyFill="1" applyBorder="1" applyAlignment="1">
      <alignment horizontal="center"/>
    </xf>
    <xf numFmtId="0" fontId="49" fillId="19" borderId="0" xfId="0" applyFont="1" applyFill="1" applyAlignment="1">
      <alignment horizontal="center"/>
    </xf>
    <xf numFmtId="0" fontId="32" fillId="27" borderId="0" xfId="0" applyFont="1" applyFill="1" applyAlignment="1">
      <alignment horizontal="center"/>
    </xf>
    <xf numFmtId="0" fontId="47" fillId="16" borderId="0" xfId="0" applyFont="1" applyFill="1" applyAlignment="1">
      <alignment horizontal="center"/>
    </xf>
    <xf numFmtId="0" fontId="0" fillId="10" borderId="24" xfId="0" applyFill="1" applyBorder="1"/>
    <xf numFmtId="1" fontId="16" fillId="18" borderId="25" xfId="16" applyFont="1" applyFill="1" applyBorder="1" applyAlignment="1">
      <alignment horizontal="center"/>
    </xf>
    <xf numFmtId="1" fontId="32" fillId="22" borderId="16" xfId="16" applyFont="1" applyFill="1" applyBorder="1" applyAlignment="1">
      <alignment horizontal="center"/>
    </xf>
    <xf numFmtId="0" fontId="31" fillId="16" borderId="0" xfId="2" applyFont="1" applyFill="1">
      <alignment vertical="center"/>
    </xf>
    <xf numFmtId="0" fontId="30" fillId="15" borderId="0" xfId="2">
      <alignment vertical="center"/>
    </xf>
    <xf numFmtId="0" fontId="56" fillId="0" borderId="0" xfId="0" applyFont="1"/>
    <xf numFmtId="0" fontId="48" fillId="26" borderId="0" xfId="0" applyFont="1" applyFill="1" applyAlignment="1">
      <alignment vertical="center"/>
    </xf>
    <xf numFmtId="0" fontId="0" fillId="0" borderId="28" xfId="0" applyBorder="1"/>
    <xf numFmtId="0" fontId="50" fillId="0" borderId="28" xfId="0" applyFont="1" applyBorder="1"/>
    <xf numFmtId="0" fontId="0" fillId="52" borderId="0" xfId="0" applyFill="1" applyAlignment="1">
      <alignment horizontal="center" vertical="center"/>
    </xf>
    <xf numFmtId="0" fontId="0" fillId="0" borderId="28" xfId="0" applyBorder="1" applyAlignment="1">
      <alignment horizontal="center"/>
    </xf>
    <xf numFmtId="0" fontId="50" fillId="0" borderId="28" xfId="0" applyFont="1" applyBorder="1" applyAlignment="1">
      <alignment horizontal="center"/>
    </xf>
    <xf numFmtId="0" fontId="0" fillId="53" borderId="0" xfId="0" applyFill="1"/>
    <xf numFmtId="0" fontId="48" fillId="53" borderId="0" xfId="0" applyFont="1" applyFill="1"/>
    <xf numFmtId="0" fontId="51" fillId="0" borderId="26" xfId="22" applyAlignment="1" applyProtection="1">
      <alignment horizontal="center" vertical="center"/>
      <protection locked="0"/>
    </xf>
    <xf numFmtId="167" fontId="51" fillId="0" borderId="26" xfId="22" applyNumberFormat="1" applyAlignment="1" applyProtection="1">
      <alignment horizontal="center" vertical="center"/>
      <protection locked="0"/>
    </xf>
    <xf numFmtId="0" fontId="57" fillId="8" borderId="29" xfId="15" applyFont="1" applyBorder="1">
      <alignment vertical="center"/>
    </xf>
    <xf numFmtId="0" fontId="57" fillId="0" borderId="29" xfId="0" applyFont="1" applyBorder="1" applyAlignment="1">
      <alignment vertical="center"/>
    </xf>
    <xf numFmtId="1" fontId="21" fillId="0" borderId="29" xfId="16" applyBorder="1" applyAlignment="1">
      <alignment horizontal="center"/>
    </xf>
    <xf numFmtId="0" fontId="19" fillId="8" borderId="29" xfId="15" applyBorder="1">
      <alignment vertical="center"/>
    </xf>
    <xf numFmtId="166" fontId="24" fillId="0" borderId="29" xfId="19" applyBorder="1" applyAlignment="1" applyProtection="1">
      <alignment horizontal="center"/>
      <protection locked="0"/>
    </xf>
    <xf numFmtId="0" fontId="19" fillId="8" borderId="30" xfId="15" applyBorder="1">
      <alignment vertical="center"/>
    </xf>
    <xf numFmtId="166" fontId="24" fillId="0" borderId="30" xfId="19" applyBorder="1" applyAlignment="1" applyProtection="1">
      <alignment horizontal="center"/>
      <protection locked="0"/>
    </xf>
    <xf numFmtId="1" fontId="21" fillId="0" borderId="30" xfId="16" applyBorder="1" applyAlignment="1">
      <alignment horizontal="center"/>
    </xf>
    <xf numFmtId="0" fontId="57" fillId="8" borderId="29" xfId="15" applyFont="1" applyBorder="1" applyAlignment="1">
      <alignment horizontal="center" vertical="center"/>
    </xf>
    <xf numFmtId="0" fontId="23" fillId="28" borderId="0" xfId="0" applyFont="1" applyFill="1" applyAlignment="1">
      <alignment horizontal="center" vertical="center"/>
    </xf>
    <xf numFmtId="0" fontId="23" fillId="28" borderId="0" xfId="0" applyFont="1" applyFill="1" applyAlignment="1">
      <alignment vertical="center"/>
    </xf>
    <xf numFmtId="0" fontId="58" fillId="28" borderId="0" xfId="0" applyFont="1" applyFill="1" applyAlignment="1">
      <alignment horizontal="center" vertical="center"/>
    </xf>
    <xf numFmtId="0" fontId="26" fillId="28" borderId="0" xfId="0" applyFont="1" applyFill="1" applyAlignment="1">
      <alignment horizontal="center" vertical="center"/>
    </xf>
    <xf numFmtId="165" fontId="24" fillId="0" borderId="31" xfId="18" applyBorder="1" applyProtection="1">
      <alignment horizontal="center" vertical="center"/>
      <protection locked="0"/>
    </xf>
    <xf numFmtId="165" fontId="24" fillId="0" borderId="33" xfId="18" applyBorder="1" applyProtection="1">
      <alignment horizontal="center" vertical="center"/>
      <protection locked="0"/>
    </xf>
    <xf numFmtId="0" fontId="23" fillId="9" borderId="0" xfId="0" applyFont="1" applyFill="1" applyAlignment="1">
      <alignment horizontal="center" vertical="center"/>
    </xf>
    <xf numFmtId="0" fontId="23" fillId="9" borderId="0" xfId="0" applyFont="1" applyFill="1" applyAlignment="1">
      <alignment horizontal="left" vertical="center"/>
    </xf>
    <xf numFmtId="0" fontId="23" fillId="9" borderId="0" xfId="0" applyFont="1" applyFill="1" applyAlignment="1">
      <alignment horizontal="right" vertical="center"/>
    </xf>
    <xf numFmtId="1" fontId="21" fillId="0" borderId="35" xfId="16" applyBorder="1" applyAlignment="1">
      <alignment horizontal="center"/>
    </xf>
    <xf numFmtId="1" fontId="25" fillId="0" borderId="35" xfId="16" applyFont="1" applyBorder="1" applyAlignment="1">
      <alignment horizontal="center"/>
    </xf>
    <xf numFmtId="168" fontId="0" fillId="54" borderId="0" xfId="0" applyNumberFormat="1" applyFill="1" applyAlignment="1" applyProtection="1">
      <alignment horizontal="center"/>
      <protection locked="0"/>
    </xf>
    <xf numFmtId="1" fontId="24" fillId="0" borderId="37" xfId="17" applyBorder="1" applyAlignment="1" applyProtection="1">
      <alignment horizontal="center"/>
      <protection locked="0"/>
    </xf>
    <xf numFmtId="1" fontId="25" fillId="0" borderId="36" xfId="18" applyNumberFormat="1" applyFont="1" applyBorder="1" applyProtection="1">
      <alignment horizontal="center" vertical="center"/>
      <protection locked="0"/>
    </xf>
    <xf numFmtId="1" fontId="25" fillId="0" borderId="32" xfId="18" applyNumberFormat="1" applyFont="1" applyBorder="1" applyProtection="1">
      <alignment horizontal="center" vertical="center"/>
      <protection locked="0"/>
    </xf>
    <xf numFmtId="1" fontId="24" fillId="0" borderId="38" xfId="17" applyBorder="1" applyAlignment="1" applyProtection="1">
      <alignment horizontal="center"/>
      <protection locked="0"/>
    </xf>
    <xf numFmtId="1" fontId="25" fillId="0" borderId="39" xfId="18" applyNumberFormat="1" applyFont="1" applyBorder="1" applyProtection="1">
      <alignment horizontal="center" vertical="center"/>
      <protection locked="0"/>
    </xf>
    <xf numFmtId="1" fontId="25" fillId="0" borderId="34" xfId="18" applyNumberFormat="1" applyFont="1" applyBorder="1" applyProtection="1">
      <alignment horizontal="center" vertical="center"/>
      <protection locked="0"/>
    </xf>
    <xf numFmtId="0" fontId="19" fillId="8" borderId="40" xfId="15" applyBorder="1">
      <alignment vertical="center"/>
    </xf>
    <xf numFmtId="165" fontId="24" fillId="0" borderId="41" xfId="18" applyBorder="1" applyProtection="1">
      <alignment horizontal="center" vertical="center"/>
      <protection locked="0"/>
    </xf>
    <xf numFmtId="166" fontId="24" fillId="0" borderId="40" xfId="19" applyBorder="1" applyAlignment="1" applyProtection="1">
      <alignment horizontal="center"/>
      <protection locked="0"/>
    </xf>
    <xf numFmtId="1" fontId="24" fillId="0" borderId="42" xfId="17" applyBorder="1" applyAlignment="1" applyProtection="1">
      <alignment horizontal="center"/>
      <protection locked="0"/>
    </xf>
    <xf numFmtId="1" fontId="25" fillId="0" borderId="43" xfId="18" applyNumberFormat="1" applyFont="1" applyBorder="1" applyProtection="1">
      <alignment horizontal="center" vertical="center"/>
      <protection locked="0"/>
    </xf>
    <xf numFmtId="1" fontId="25" fillId="0" borderId="44" xfId="18" applyNumberFormat="1" applyFont="1" applyBorder="1" applyProtection="1">
      <alignment horizontal="center" vertical="center"/>
      <protection locked="0"/>
    </xf>
    <xf numFmtId="1" fontId="21" fillId="0" borderId="40" xfId="16" applyBorder="1" applyAlignment="1">
      <alignment horizontal="center"/>
    </xf>
    <xf numFmtId="0" fontId="19" fillId="8" borderId="45" xfId="15" applyBorder="1">
      <alignment vertical="center"/>
    </xf>
    <xf numFmtId="165" fontId="24" fillId="0" borderId="46" xfId="18" applyBorder="1" applyProtection="1">
      <alignment horizontal="center" vertical="center"/>
      <protection locked="0"/>
    </xf>
    <xf numFmtId="166" fontId="24" fillId="0" borderId="45" xfId="19" applyBorder="1" applyAlignment="1" applyProtection="1">
      <alignment horizontal="center"/>
      <protection locked="0"/>
    </xf>
    <xf numFmtId="1" fontId="24" fillId="0" borderId="47" xfId="17" applyBorder="1" applyAlignment="1" applyProtection="1">
      <alignment horizontal="center"/>
      <protection locked="0"/>
    </xf>
    <xf numFmtId="1" fontId="25" fillId="0" borderId="48" xfId="18" applyNumberFormat="1" applyFont="1" applyBorder="1" applyProtection="1">
      <alignment horizontal="center" vertical="center"/>
      <protection locked="0"/>
    </xf>
    <xf numFmtId="1" fontId="25" fillId="0" borderId="49" xfId="18" applyNumberFormat="1" applyFont="1" applyBorder="1" applyProtection="1">
      <alignment horizontal="center" vertical="center"/>
      <protection locked="0"/>
    </xf>
    <xf numFmtId="1" fontId="21" fillId="0" borderId="45" xfId="16" applyBorder="1" applyAlignment="1">
      <alignment horizontal="center"/>
    </xf>
    <xf numFmtId="165" fontId="24" fillId="0" borderId="50" xfId="18" applyBorder="1" applyProtection="1">
      <alignment horizontal="center" vertical="center"/>
      <protection locked="0"/>
    </xf>
    <xf numFmtId="166" fontId="24" fillId="0" borderId="51" xfId="19" applyBorder="1" applyAlignment="1" applyProtection="1">
      <alignment horizontal="center"/>
      <protection locked="0"/>
    </xf>
    <xf numFmtId="1" fontId="24" fillId="0" borderId="52" xfId="17" applyBorder="1" applyAlignment="1" applyProtection="1">
      <alignment horizontal="center"/>
      <protection locked="0"/>
    </xf>
    <xf numFmtId="1" fontId="25" fillId="0" borderId="53" xfId="18" applyNumberFormat="1" applyFont="1" applyBorder="1" applyProtection="1">
      <alignment horizontal="center" vertical="center"/>
      <protection locked="0"/>
    </xf>
    <xf numFmtId="1" fontId="25" fillId="0" borderId="54" xfId="18" applyNumberFormat="1" applyFont="1" applyBorder="1" applyProtection="1">
      <alignment horizontal="center" vertical="center"/>
      <protection locked="0"/>
    </xf>
    <xf numFmtId="0" fontId="59" fillId="18" borderId="55" xfId="0" applyFont="1" applyFill="1" applyBorder="1" applyAlignment="1">
      <alignment horizontal="center"/>
    </xf>
    <xf numFmtId="0" fontId="59" fillId="18" borderId="55" xfId="0" applyFont="1" applyFill="1" applyBorder="1" applyAlignment="1">
      <alignment horizontal="center" vertical="center"/>
    </xf>
    <xf numFmtId="0" fontId="32" fillId="17" borderId="0" xfId="0" applyFont="1" applyFill="1" applyAlignment="1">
      <alignment horizontal="left" indent="18"/>
    </xf>
    <xf numFmtId="0" fontId="32" fillId="17" borderId="0" xfId="0" applyFont="1" applyFill="1" applyAlignment="1">
      <alignment horizontal="left" indent="12"/>
    </xf>
    <xf numFmtId="0" fontId="0" fillId="23" borderId="0" xfId="0" applyFill="1"/>
    <xf numFmtId="1" fontId="25" fillId="0" borderId="17" xfId="16" applyFont="1" applyBorder="1" applyAlignment="1" applyProtection="1">
      <alignment horizontal="center"/>
      <protection locked="0"/>
    </xf>
    <xf numFmtId="0" fontId="19" fillId="8" borderId="56" xfId="15" applyBorder="1">
      <alignment vertical="center"/>
    </xf>
    <xf numFmtId="165" fontId="24" fillId="0" borderId="57" xfId="18" applyBorder="1" applyProtection="1">
      <alignment horizontal="center" vertical="center"/>
      <protection locked="0"/>
    </xf>
    <xf numFmtId="166" fontId="24" fillId="0" borderId="58" xfId="19" applyBorder="1" applyAlignment="1" applyProtection="1">
      <alignment horizontal="center"/>
      <protection locked="0"/>
    </xf>
    <xf numFmtId="1" fontId="24" fillId="0" borderId="59" xfId="17" applyBorder="1" applyAlignment="1" applyProtection="1">
      <alignment horizontal="center"/>
      <protection locked="0"/>
    </xf>
    <xf numFmtId="1" fontId="25" fillId="0" borderId="60" xfId="18" applyNumberFormat="1" applyFont="1" applyBorder="1" applyProtection="1">
      <alignment horizontal="center" vertical="center"/>
      <protection locked="0"/>
    </xf>
    <xf numFmtId="1" fontId="25" fillId="0" borderId="61" xfId="18" applyNumberFormat="1" applyFont="1" applyBorder="1" applyProtection="1">
      <alignment horizontal="center" vertical="center"/>
      <protection locked="0"/>
    </xf>
    <xf numFmtId="1" fontId="21" fillId="0" borderId="56" xfId="16" applyBorder="1" applyAlignment="1">
      <alignment horizontal="center"/>
    </xf>
    <xf numFmtId="0" fontId="19" fillId="8" borderId="62" xfId="15" applyBorder="1">
      <alignment vertical="center"/>
    </xf>
    <xf numFmtId="165" fontId="24" fillId="0" borderId="63" xfId="18" applyBorder="1" applyProtection="1">
      <alignment horizontal="center" vertical="center"/>
      <protection locked="0"/>
    </xf>
    <xf numFmtId="166" fontId="24" fillId="0" borderId="62" xfId="19" applyBorder="1" applyAlignment="1" applyProtection="1">
      <alignment horizontal="center"/>
      <protection locked="0"/>
    </xf>
    <xf numFmtId="1" fontId="24" fillId="0" borderId="64" xfId="17" applyBorder="1" applyAlignment="1" applyProtection="1">
      <alignment horizontal="center"/>
      <protection locked="0"/>
    </xf>
    <xf numFmtId="1" fontId="25" fillId="0" borderId="65" xfId="18" applyNumberFormat="1" applyFont="1" applyBorder="1" applyProtection="1">
      <alignment horizontal="center" vertical="center"/>
      <protection locked="0"/>
    </xf>
    <xf numFmtId="1" fontId="25" fillId="0" borderId="66" xfId="18" applyNumberFormat="1" applyFont="1" applyBorder="1" applyProtection="1">
      <alignment horizontal="center" vertical="center"/>
      <protection locked="0"/>
    </xf>
    <xf numFmtId="1" fontId="21" fillId="0" borderId="62" xfId="16" applyBorder="1" applyAlignment="1">
      <alignment horizontal="center"/>
    </xf>
    <xf numFmtId="0" fontId="19" fillId="8" borderId="67" xfId="15" applyBorder="1">
      <alignment vertical="center"/>
    </xf>
    <xf numFmtId="165" fontId="24" fillId="0" borderId="68" xfId="18" applyBorder="1" applyProtection="1">
      <alignment horizontal="center" vertical="center"/>
      <protection locked="0"/>
    </xf>
    <xf numFmtId="166" fontId="24" fillId="0" borderId="67" xfId="19" applyBorder="1" applyAlignment="1" applyProtection="1">
      <alignment horizontal="center"/>
      <protection locked="0"/>
    </xf>
    <xf numFmtId="1" fontId="24" fillId="0" borderId="69" xfId="17" applyBorder="1" applyAlignment="1" applyProtection="1">
      <alignment horizontal="center"/>
      <protection locked="0"/>
    </xf>
    <xf numFmtId="1" fontId="25" fillId="0" borderId="70" xfId="18" applyNumberFormat="1" applyFont="1" applyBorder="1" applyProtection="1">
      <alignment horizontal="center" vertical="center"/>
      <protection locked="0"/>
    </xf>
    <xf numFmtId="1" fontId="25" fillId="0" borderId="71" xfId="18" applyNumberFormat="1" applyFont="1" applyBorder="1" applyProtection="1">
      <alignment horizontal="center" vertical="center"/>
      <protection locked="0"/>
    </xf>
    <xf numFmtId="1" fontId="21" fillId="0" borderId="67" xfId="16" applyBorder="1" applyAlignment="1">
      <alignment horizontal="center"/>
    </xf>
    <xf numFmtId="0" fontId="32" fillId="17" borderId="0" xfId="0" applyFont="1" applyFill="1" applyAlignment="1">
      <alignment horizontal="left" indent="10"/>
    </xf>
    <xf numFmtId="0" fontId="35" fillId="17" borderId="0" xfId="20" applyFill="1"/>
    <xf numFmtId="0" fontId="51" fillId="0" borderId="26" xfId="22" applyProtection="1">
      <alignment vertical="center"/>
      <protection locked="0"/>
    </xf>
    <xf numFmtId="0" fontId="30" fillId="15" borderId="0" xfId="2" applyAlignment="1">
      <alignment horizontal="center" vertical="center"/>
    </xf>
    <xf numFmtId="0" fontId="51" fillId="0" borderId="26" xfId="22" applyProtection="1">
      <alignment vertical="center"/>
      <protection locked="0"/>
    </xf>
    <xf numFmtId="0" fontId="0" fillId="0" borderId="0" xfId="0" applyAlignment="1">
      <alignment vertical="top" wrapText="1"/>
    </xf>
    <xf numFmtId="0" fontId="42" fillId="22" borderId="0" xfId="0" applyFont="1" applyFill="1" applyAlignment="1">
      <alignment horizontal="center" vertical="center"/>
    </xf>
    <xf numFmtId="0" fontId="39" fillId="16" borderId="0" xfId="0" applyFont="1" applyFill="1" applyAlignment="1">
      <alignment horizontal="center" vertical="center" wrapText="1"/>
    </xf>
  </cellXfs>
  <cellStyles count="48">
    <cellStyle name="20 % - Farve1" xfId="26" builtinId="30" hidden="1"/>
    <cellStyle name="20 % - Farve2" xfId="30" builtinId="34" hidden="1"/>
    <cellStyle name="20 % - Farve3" xfId="34" builtinId="38" hidden="1"/>
    <cellStyle name="20 % - Farve4" xfId="38" builtinId="42" hidden="1"/>
    <cellStyle name="20 % - Farve5" xfId="42" builtinId="46" hidden="1"/>
    <cellStyle name="20 % - Farve6" xfId="21" builtinId="50" hidden="1"/>
    <cellStyle name="40 % - Farve1" xfId="27" builtinId="31" hidden="1"/>
    <cellStyle name="40 % - Farve2" xfId="31" builtinId="35" hidden="1"/>
    <cellStyle name="40 % - Farve3" xfId="35" builtinId="39" hidden="1"/>
    <cellStyle name="40 % - Farve4" xfId="39" builtinId="43" hidden="1"/>
    <cellStyle name="40 % - Farve5" xfId="43" builtinId="47" hidden="1"/>
    <cellStyle name="40 % - Farve6" xfId="46" builtinId="51" hidden="1"/>
    <cellStyle name="60 % - Farve1" xfId="28" builtinId="32" hidden="1"/>
    <cellStyle name="60 % - Farve2" xfId="32" builtinId="36" hidden="1"/>
    <cellStyle name="60 % - Farve3" xfId="36" builtinId="40" hidden="1"/>
    <cellStyle name="60 % - Farve4" xfId="40" builtinId="44" hidden="1"/>
    <cellStyle name="60 % - Farve5" xfId="44" builtinId="48" hidden="1"/>
    <cellStyle name="60 % - Farve6" xfId="47" builtinId="52" hidden="1"/>
    <cellStyle name="Advarselstekst" xfId="12" builtinId="11" hidden="1"/>
    <cellStyle name="Bemærk!" xfId="13" builtinId="10" hidden="1"/>
    <cellStyle name="Beregning" xfId="9" builtinId="22" hidden="1"/>
    <cellStyle name="Dato" xfId="18" xr:uid="{00000000-0005-0000-0000-000004000000}"/>
    <cellStyle name="Farve1" xfId="25" builtinId="29" customBuiltin="1"/>
    <cellStyle name="Farve2" xfId="29" builtinId="33" customBuiltin="1"/>
    <cellStyle name="Farve3" xfId="33" builtinId="37" customBuiltin="1"/>
    <cellStyle name="Farve4" xfId="37" builtinId="41" customBuiltin="1"/>
    <cellStyle name="Farve5" xfId="41" builtinId="45" customBuiltin="1"/>
    <cellStyle name="Farve6" xfId="45" builtinId="49" customBuiltin="1"/>
    <cellStyle name="Forklarende tekst" xfId="14" builtinId="53" hidden="1"/>
    <cellStyle name="God" xfId="5" builtinId="26" hidden="1"/>
    <cellStyle name="Input" xfId="22" builtinId="20" customBuiltin="1"/>
    <cellStyle name="Kontrollér celle" xfId="11" builtinId="23" hidden="1"/>
    <cellStyle name="Link" xfId="20" builtinId="8"/>
    <cellStyle name="Neutral" xfId="7" builtinId="28" hidden="1"/>
    <cellStyle name="Normal" xfId="0" builtinId="0" customBuiltin="1"/>
    <cellStyle name="Output" xfId="8" builtinId="21" hidden="1"/>
    <cellStyle name="Overskrift 1" xfId="1" builtinId="16" customBuiltin="1"/>
    <cellStyle name="Overskrift 2" xfId="2" builtinId="17" customBuiltin="1"/>
    <cellStyle name="Overskrift 3" xfId="3" builtinId="18" customBuiltin="1"/>
    <cellStyle name="Overskrift 4" xfId="4" builtinId="19" customBuiltin="1"/>
    <cellStyle name="prgTekst" xfId="15" xr:uid="{00000000-0005-0000-0000-000012000000}"/>
    <cellStyle name="Sammenkædet celle" xfId="10" builtinId="24" hidden="1"/>
    <cellStyle name="Tal" xfId="17" xr:uid="{00000000-0005-0000-0000-000014000000}"/>
    <cellStyle name="Tal-stor" xfId="16" xr:uid="{00000000-0005-0000-0000-000015000000}"/>
    <cellStyle name="Tid" xfId="19" xr:uid="{00000000-0005-0000-0000-000016000000}"/>
    <cellStyle name="Titel" xfId="23" builtinId="15" customBuiltin="1"/>
    <cellStyle name="Total" xfId="24" builtinId="25" customBuiltin="1"/>
    <cellStyle name="Ugyldig" xfId="6" builtinId="27" hidden="1"/>
  </cellStyles>
  <dxfs count="33">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93D21"/>
      <color rgb="FF674727"/>
      <color rgb="FFBB844C"/>
      <color rgb="FF785E1E"/>
      <color rgb="FFD3AE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1</xdr:row>
      <xdr:rowOff>193675</xdr:rowOff>
    </xdr:from>
    <xdr:to>
      <xdr:col>1</xdr:col>
      <xdr:colOff>1811241</xdr:colOff>
      <xdr:row>1</xdr:row>
      <xdr:rowOff>517572</xdr:rowOff>
    </xdr:to>
    <xdr:pic>
      <xdr:nvPicPr>
        <xdr:cNvPr id="11" name="Billed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625" y="355600"/>
          <a:ext cx="1581371" cy="333422"/>
        </a:xfrm>
        <a:prstGeom prst="rect">
          <a:avLst/>
        </a:prstGeom>
      </xdr:spPr>
    </xdr:pic>
    <xdr:clientData/>
  </xdr:twoCellAnchor>
  <xdr:twoCellAnchor editAs="oneCell">
    <xdr:from>
      <xdr:col>1</xdr:col>
      <xdr:colOff>0</xdr:colOff>
      <xdr:row>11</xdr:row>
      <xdr:rowOff>0</xdr:rowOff>
    </xdr:from>
    <xdr:to>
      <xdr:col>1</xdr:col>
      <xdr:colOff>1333616</xdr:colOff>
      <xdr:row>19</xdr:row>
      <xdr:rowOff>91560</xdr:rowOff>
    </xdr:to>
    <xdr:pic>
      <xdr:nvPicPr>
        <xdr:cNvPr id="6" name="Billede 5">
          <a:extLst>
            <a:ext uri="{FF2B5EF4-FFF2-40B4-BE49-F238E27FC236}">
              <a16:creationId xmlns:a16="http://schemas.microsoft.com/office/drawing/2014/main" id="{265D2F2D-A7D3-4584-87C6-4801FE05A882}"/>
            </a:ext>
          </a:extLst>
        </xdr:cNvPr>
        <xdr:cNvPicPr>
          <a:picLocks noChangeAspect="1"/>
        </xdr:cNvPicPr>
      </xdr:nvPicPr>
      <xdr:blipFill>
        <a:blip xmlns:r="http://schemas.openxmlformats.org/officeDocument/2006/relationships" r:embed="rId2"/>
        <a:stretch>
          <a:fillRect/>
        </a:stretch>
      </xdr:blipFill>
      <xdr:spPr>
        <a:xfrm>
          <a:off x="365760" y="2453640"/>
          <a:ext cx="1333616" cy="1379340"/>
        </a:xfrm>
        <a:prstGeom prst="rect">
          <a:avLst/>
        </a:prstGeom>
      </xdr:spPr>
    </xdr:pic>
    <xdr:clientData/>
  </xdr:twoCellAnchor>
  <xdr:twoCellAnchor editAs="oneCell">
    <xdr:from>
      <xdr:col>1</xdr:col>
      <xdr:colOff>0</xdr:colOff>
      <xdr:row>39</xdr:row>
      <xdr:rowOff>1</xdr:rowOff>
    </xdr:from>
    <xdr:to>
      <xdr:col>2</xdr:col>
      <xdr:colOff>2038350</xdr:colOff>
      <xdr:row>44</xdr:row>
      <xdr:rowOff>57699</xdr:rowOff>
    </xdr:to>
    <xdr:pic>
      <xdr:nvPicPr>
        <xdr:cNvPr id="18" name="Billede 17">
          <a:extLst>
            <a:ext uri="{FF2B5EF4-FFF2-40B4-BE49-F238E27FC236}">
              <a16:creationId xmlns:a16="http://schemas.microsoft.com/office/drawing/2014/main" id="{891C6BF5-2643-4091-AB3E-7AC9B979C112}"/>
            </a:ext>
          </a:extLst>
        </xdr:cNvPr>
        <xdr:cNvPicPr>
          <a:picLocks noChangeAspect="1"/>
        </xdr:cNvPicPr>
      </xdr:nvPicPr>
      <xdr:blipFill>
        <a:blip xmlns:r="http://schemas.openxmlformats.org/officeDocument/2006/relationships" r:embed="rId3"/>
        <a:stretch>
          <a:fillRect/>
        </a:stretch>
      </xdr:blipFill>
      <xdr:spPr>
        <a:xfrm>
          <a:off x="365760" y="7482841"/>
          <a:ext cx="4579620" cy="842558"/>
        </a:xfrm>
        <a:prstGeom prst="rect">
          <a:avLst/>
        </a:prstGeom>
      </xdr:spPr>
    </xdr:pic>
    <xdr:clientData/>
  </xdr:twoCellAnchor>
  <xdr:twoCellAnchor editAs="oneCell">
    <xdr:from>
      <xdr:col>1</xdr:col>
      <xdr:colOff>0</xdr:colOff>
      <xdr:row>45</xdr:row>
      <xdr:rowOff>0</xdr:rowOff>
    </xdr:from>
    <xdr:to>
      <xdr:col>2</xdr:col>
      <xdr:colOff>2534090</xdr:colOff>
      <xdr:row>48</xdr:row>
      <xdr:rowOff>15284</xdr:rowOff>
    </xdr:to>
    <xdr:pic>
      <xdr:nvPicPr>
        <xdr:cNvPr id="19" name="Billede 18">
          <a:extLst>
            <a:ext uri="{FF2B5EF4-FFF2-40B4-BE49-F238E27FC236}">
              <a16:creationId xmlns:a16="http://schemas.microsoft.com/office/drawing/2014/main" id="{4663350A-24DD-4845-A2D3-38E8C0AFBA4D}"/>
            </a:ext>
          </a:extLst>
        </xdr:cNvPr>
        <xdr:cNvPicPr>
          <a:picLocks noChangeAspect="1"/>
        </xdr:cNvPicPr>
      </xdr:nvPicPr>
      <xdr:blipFill>
        <a:blip xmlns:r="http://schemas.openxmlformats.org/officeDocument/2006/relationships" r:embed="rId4"/>
        <a:stretch>
          <a:fillRect/>
        </a:stretch>
      </xdr:blipFill>
      <xdr:spPr>
        <a:xfrm>
          <a:off x="365760" y="8442960"/>
          <a:ext cx="5075360" cy="502964"/>
        </a:xfrm>
        <a:prstGeom prst="rect">
          <a:avLst/>
        </a:prstGeom>
      </xdr:spPr>
    </xdr:pic>
    <xdr:clientData/>
  </xdr:twoCellAnchor>
  <xdr:twoCellAnchor editAs="oneCell">
    <xdr:from>
      <xdr:col>1</xdr:col>
      <xdr:colOff>0</xdr:colOff>
      <xdr:row>58</xdr:row>
      <xdr:rowOff>0</xdr:rowOff>
    </xdr:from>
    <xdr:to>
      <xdr:col>2</xdr:col>
      <xdr:colOff>243840</xdr:colOff>
      <xdr:row>63</xdr:row>
      <xdr:rowOff>96807</xdr:rowOff>
    </xdr:to>
    <xdr:pic>
      <xdr:nvPicPr>
        <xdr:cNvPr id="21" name="Billede 20">
          <a:extLst>
            <a:ext uri="{FF2B5EF4-FFF2-40B4-BE49-F238E27FC236}">
              <a16:creationId xmlns:a16="http://schemas.microsoft.com/office/drawing/2014/main" id="{24680DDB-CC51-4087-99E4-7D6135B25AAA}"/>
            </a:ext>
          </a:extLst>
        </xdr:cNvPr>
        <xdr:cNvPicPr>
          <a:picLocks noChangeAspect="1"/>
        </xdr:cNvPicPr>
      </xdr:nvPicPr>
      <xdr:blipFill>
        <a:blip xmlns:r="http://schemas.openxmlformats.org/officeDocument/2006/relationships" r:embed="rId5"/>
        <a:stretch>
          <a:fillRect/>
        </a:stretch>
      </xdr:blipFill>
      <xdr:spPr>
        <a:xfrm>
          <a:off x="365760" y="10439400"/>
          <a:ext cx="2796540" cy="885477"/>
        </a:xfrm>
        <a:prstGeom prst="rect">
          <a:avLst/>
        </a:prstGeom>
      </xdr:spPr>
    </xdr:pic>
    <xdr:clientData/>
  </xdr:twoCellAnchor>
  <xdr:twoCellAnchor editAs="oneCell">
    <xdr:from>
      <xdr:col>0</xdr:col>
      <xdr:colOff>358140</xdr:colOff>
      <xdr:row>66</xdr:row>
      <xdr:rowOff>53340</xdr:rowOff>
    </xdr:from>
    <xdr:to>
      <xdr:col>2</xdr:col>
      <xdr:colOff>1581508</xdr:colOff>
      <xdr:row>72</xdr:row>
      <xdr:rowOff>167733</xdr:rowOff>
    </xdr:to>
    <xdr:pic>
      <xdr:nvPicPr>
        <xdr:cNvPr id="22" name="Billede 21">
          <a:extLst>
            <a:ext uri="{FF2B5EF4-FFF2-40B4-BE49-F238E27FC236}">
              <a16:creationId xmlns:a16="http://schemas.microsoft.com/office/drawing/2014/main" id="{23E0C0F8-F480-4BB5-A570-5E2E7247B133}"/>
            </a:ext>
          </a:extLst>
        </xdr:cNvPr>
        <xdr:cNvPicPr>
          <a:picLocks noChangeAspect="1"/>
        </xdr:cNvPicPr>
      </xdr:nvPicPr>
      <xdr:blipFill>
        <a:blip xmlns:r="http://schemas.openxmlformats.org/officeDocument/2006/relationships" r:embed="rId6"/>
        <a:stretch>
          <a:fillRect/>
        </a:stretch>
      </xdr:blipFill>
      <xdr:spPr>
        <a:xfrm>
          <a:off x="358140" y="11856720"/>
          <a:ext cx="4130398" cy="1074513"/>
        </a:xfrm>
        <a:prstGeom prst="rect">
          <a:avLst/>
        </a:prstGeom>
      </xdr:spPr>
    </xdr:pic>
    <xdr:clientData/>
  </xdr:twoCellAnchor>
  <xdr:twoCellAnchor editAs="oneCell">
    <xdr:from>
      <xdr:col>1</xdr:col>
      <xdr:colOff>0</xdr:colOff>
      <xdr:row>21</xdr:row>
      <xdr:rowOff>0</xdr:rowOff>
    </xdr:from>
    <xdr:to>
      <xdr:col>2</xdr:col>
      <xdr:colOff>1333837</xdr:colOff>
      <xdr:row>25</xdr:row>
      <xdr:rowOff>243918</xdr:rowOff>
    </xdr:to>
    <xdr:pic>
      <xdr:nvPicPr>
        <xdr:cNvPr id="4" name="Billede 3">
          <a:extLst>
            <a:ext uri="{FF2B5EF4-FFF2-40B4-BE49-F238E27FC236}">
              <a16:creationId xmlns:a16="http://schemas.microsoft.com/office/drawing/2014/main" id="{556C7093-3D30-45C2-96EB-2B662C326966}"/>
            </a:ext>
          </a:extLst>
        </xdr:cNvPr>
        <xdr:cNvPicPr>
          <a:picLocks noChangeAspect="1"/>
        </xdr:cNvPicPr>
      </xdr:nvPicPr>
      <xdr:blipFill>
        <a:blip xmlns:r="http://schemas.openxmlformats.org/officeDocument/2006/relationships" r:embed="rId7"/>
        <a:stretch>
          <a:fillRect/>
        </a:stretch>
      </xdr:blipFill>
      <xdr:spPr>
        <a:xfrm>
          <a:off x="361950" y="4086225"/>
          <a:ext cx="3886537" cy="899238"/>
        </a:xfrm>
        <a:prstGeom prst="rect">
          <a:avLst/>
        </a:prstGeom>
      </xdr:spPr>
    </xdr:pic>
    <xdr:clientData/>
  </xdr:twoCellAnchor>
  <xdr:twoCellAnchor editAs="oneCell">
    <xdr:from>
      <xdr:col>1</xdr:col>
      <xdr:colOff>0</xdr:colOff>
      <xdr:row>25</xdr:row>
      <xdr:rowOff>466725</xdr:rowOff>
    </xdr:from>
    <xdr:to>
      <xdr:col>1</xdr:col>
      <xdr:colOff>514394</xdr:colOff>
      <xdr:row>32</xdr:row>
      <xdr:rowOff>131551</xdr:rowOff>
    </xdr:to>
    <xdr:pic>
      <xdr:nvPicPr>
        <xdr:cNvPr id="7" name="Billede 6">
          <a:extLst>
            <a:ext uri="{FF2B5EF4-FFF2-40B4-BE49-F238E27FC236}">
              <a16:creationId xmlns:a16="http://schemas.microsoft.com/office/drawing/2014/main" id="{2F318293-3DAA-4AB3-A1D2-4278C81065AA}"/>
            </a:ext>
          </a:extLst>
        </xdr:cNvPr>
        <xdr:cNvPicPr>
          <a:picLocks noChangeAspect="1"/>
        </xdr:cNvPicPr>
      </xdr:nvPicPr>
      <xdr:blipFill>
        <a:blip xmlns:r="http://schemas.openxmlformats.org/officeDocument/2006/relationships" r:embed="rId8"/>
        <a:stretch>
          <a:fillRect/>
        </a:stretch>
      </xdr:blipFill>
      <xdr:spPr>
        <a:xfrm>
          <a:off x="361950" y="5200650"/>
          <a:ext cx="514394" cy="1225021"/>
        </a:xfrm>
        <a:prstGeom prst="rect">
          <a:avLst/>
        </a:prstGeom>
      </xdr:spPr>
    </xdr:pic>
    <xdr:clientData/>
  </xdr:twoCellAnchor>
  <xdr:twoCellAnchor editAs="oneCell">
    <xdr:from>
      <xdr:col>1</xdr:col>
      <xdr:colOff>676275</xdr:colOff>
      <xdr:row>25</xdr:row>
      <xdr:rowOff>438150</xdr:rowOff>
    </xdr:from>
    <xdr:to>
      <xdr:col>1</xdr:col>
      <xdr:colOff>1160188</xdr:colOff>
      <xdr:row>32</xdr:row>
      <xdr:rowOff>129648</xdr:rowOff>
    </xdr:to>
    <xdr:pic>
      <xdr:nvPicPr>
        <xdr:cNvPr id="8" name="Billede 7">
          <a:extLst>
            <a:ext uri="{FF2B5EF4-FFF2-40B4-BE49-F238E27FC236}">
              <a16:creationId xmlns:a16="http://schemas.microsoft.com/office/drawing/2014/main" id="{FFFE2A99-7194-4FFB-BFFA-FE7847E5F0F6}"/>
            </a:ext>
          </a:extLst>
        </xdr:cNvPr>
        <xdr:cNvPicPr>
          <a:picLocks noChangeAspect="1"/>
        </xdr:cNvPicPr>
      </xdr:nvPicPr>
      <xdr:blipFill>
        <a:blip xmlns:r="http://schemas.openxmlformats.org/officeDocument/2006/relationships" r:embed="rId9"/>
        <a:stretch>
          <a:fillRect/>
        </a:stretch>
      </xdr:blipFill>
      <xdr:spPr>
        <a:xfrm>
          <a:off x="1038225" y="5172075"/>
          <a:ext cx="495343" cy="1244073"/>
        </a:xfrm>
        <a:prstGeom prst="rect">
          <a:avLst/>
        </a:prstGeom>
      </xdr:spPr>
    </xdr:pic>
    <xdr:clientData/>
  </xdr:twoCellAnchor>
  <xdr:twoCellAnchor editAs="oneCell">
    <xdr:from>
      <xdr:col>1</xdr:col>
      <xdr:colOff>0</xdr:colOff>
      <xdr:row>33</xdr:row>
      <xdr:rowOff>0</xdr:rowOff>
    </xdr:from>
    <xdr:to>
      <xdr:col>1</xdr:col>
      <xdr:colOff>1009737</xdr:colOff>
      <xdr:row>37</xdr:row>
      <xdr:rowOff>95313</xdr:rowOff>
    </xdr:to>
    <xdr:pic>
      <xdr:nvPicPr>
        <xdr:cNvPr id="9" name="Billede 8">
          <a:extLst>
            <a:ext uri="{FF2B5EF4-FFF2-40B4-BE49-F238E27FC236}">
              <a16:creationId xmlns:a16="http://schemas.microsoft.com/office/drawing/2014/main" id="{11465AF8-B02A-4428-8FBB-6297E5B0F0DE}"/>
            </a:ext>
          </a:extLst>
        </xdr:cNvPr>
        <xdr:cNvPicPr>
          <a:picLocks noChangeAspect="1"/>
        </xdr:cNvPicPr>
      </xdr:nvPicPr>
      <xdr:blipFill>
        <a:blip xmlns:r="http://schemas.openxmlformats.org/officeDocument/2006/relationships" r:embed="rId10"/>
        <a:stretch>
          <a:fillRect/>
        </a:stretch>
      </xdr:blipFill>
      <xdr:spPr>
        <a:xfrm>
          <a:off x="361950" y="6572250"/>
          <a:ext cx="998307" cy="731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3238500</xdr:colOff>
      <xdr:row>0</xdr:row>
      <xdr:rowOff>142875</xdr:rowOff>
    </xdr:from>
    <xdr:ext cx="430506" cy="432000"/>
    <xdr:pic>
      <xdr:nvPicPr>
        <xdr:cNvPr id="2" name="Picture 2" descr="http://metroui.org.ua/images/excel2013icon.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1E7145"/>
            </a:clrFrom>
            <a:clrTo>
              <a:srgbClr val="1E7145">
                <a:alpha val="0"/>
              </a:srgbClr>
            </a:clrTo>
          </a:clrChange>
          <a:extLst>
            <a:ext uri="{28A0092B-C50C-407E-A947-70E740481C1C}">
              <a14:useLocalDpi xmlns:a14="http://schemas.microsoft.com/office/drawing/2010/main" val="0"/>
            </a:ext>
          </a:extLst>
        </a:blip>
        <a:srcRect/>
        <a:stretch>
          <a:fillRect/>
        </a:stretch>
      </xdr:blipFill>
      <xdr:spPr bwMode="auto">
        <a:xfrm>
          <a:off x="2057400" y="142875"/>
          <a:ext cx="430506" cy="432000"/>
        </a:xfrm>
        <a:prstGeom prst="rect">
          <a:avLst/>
        </a:prstGeom>
        <a:noFill/>
      </xdr:spPr>
    </xdr:pic>
    <xdr:clientData/>
  </xdr:oneCellAnchor>
</xdr:wsDr>
</file>

<file path=xl/theme/theme1.xml><?xml version="1.0" encoding="utf-8"?>
<a:theme xmlns:a="http://schemas.openxmlformats.org/drawingml/2006/main" name="Office-tema">
  <a:themeElements>
    <a:clrScheme name="xlEasy">
      <a:dk1>
        <a:sysClr val="windowText" lastClr="000000"/>
      </a:dk1>
      <a:lt1>
        <a:sysClr val="window" lastClr="FFFFFF"/>
      </a:lt1>
      <a:dk2>
        <a:srgbClr val="3D546F"/>
      </a:dk2>
      <a:lt2>
        <a:srgbClr val="EEECE1"/>
      </a:lt2>
      <a:accent1>
        <a:srgbClr val="F67F08"/>
      </a:accent1>
      <a:accent2>
        <a:srgbClr val="E31B46"/>
      </a:accent2>
      <a:accent3>
        <a:srgbClr val="6492CA"/>
      </a:accent3>
      <a:accent4>
        <a:srgbClr val="9D66AC"/>
      </a:accent4>
      <a:accent5>
        <a:srgbClr val="E6FE00"/>
      </a:accent5>
      <a:accent6>
        <a:srgbClr val="32764F"/>
      </a:accent6>
      <a:hlink>
        <a:srgbClr val="333399"/>
      </a:hlink>
      <a:folHlink>
        <a:srgbClr val="DE006F"/>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bu.dk/turneringer-og-resultater/love-og-regler/faelles-turneringsregle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xleasy.dk/"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01">
    <outlinePr showOutlineSymbols="0"/>
    <pageSetUpPr fitToPage="1"/>
  </sheetPr>
  <dimension ref="B2:C82"/>
  <sheetViews>
    <sheetView showGridLines="0" showRowColHeaders="0" tabSelected="1" showOutlineSymbols="0" zoomScaleNormal="100" workbookViewId="0"/>
  </sheetViews>
  <sheetFormatPr defaultColWidth="9" defaultRowHeight="12.6" x14ac:dyDescent="0.2"/>
  <cols>
    <col min="1" max="1" width="4.36328125" customWidth="1"/>
    <col min="2" max="2" width="30.453125" customWidth="1"/>
    <col min="3" max="3" width="73.90625" customWidth="1"/>
  </cols>
  <sheetData>
    <row r="2" spans="2:3" ht="60" customHeight="1" thickBot="1" x14ac:dyDescent="0.25">
      <c r="B2" s="22"/>
      <c r="C2" s="23" t="str">
        <f>appName&amp;" v"&amp;appVers&amp;"  "</f>
        <v xml:space="preserve">xlEasy Turnering v2003  </v>
      </c>
    </row>
    <row r="3" spans="2:3" ht="27.75" customHeight="1" thickBot="1" x14ac:dyDescent="0.25">
      <c r="B3" s="24" t="str">
        <f>appNameLong</f>
        <v>xlEasy Turnering 03x2, 04x1, 04x2, 05x1</v>
      </c>
      <c r="C3" s="25"/>
    </row>
    <row r="5" spans="2:3" ht="19.2" x14ac:dyDescent="0.2">
      <c r="B5" s="92" t="s">
        <v>37</v>
      </c>
      <c r="C5" s="93"/>
    </row>
    <row r="6" spans="2:3" ht="5.25" customHeight="1" x14ac:dyDescent="0.2">
      <c r="B6" s="26"/>
      <c r="C6" s="26"/>
    </row>
    <row r="7" spans="2:3" x14ac:dyDescent="0.2">
      <c r="B7" s="27" t="s">
        <v>38</v>
      </c>
      <c r="C7" s="26"/>
    </row>
    <row r="8" spans="2:3" x14ac:dyDescent="0.2">
      <c r="B8" s="27" t="s">
        <v>39</v>
      </c>
      <c r="C8" s="26"/>
    </row>
    <row r="9" spans="2:3" ht="6" customHeight="1" x14ac:dyDescent="0.2">
      <c r="B9" s="27"/>
      <c r="C9" s="27"/>
    </row>
    <row r="10" spans="2:3" ht="19.2" x14ac:dyDescent="0.2">
      <c r="B10" s="93" t="s">
        <v>40</v>
      </c>
      <c r="C10" s="93"/>
    </row>
    <row r="11" spans="2:3" ht="6" customHeight="1" x14ac:dyDescent="0.2">
      <c r="B11" s="26"/>
      <c r="C11" s="26"/>
    </row>
    <row r="12" spans="2:3" ht="12.75" customHeight="1" x14ac:dyDescent="0.2">
      <c r="B12" s="27"/>
      <c r="C12" s="27" t="s">
        <v>117</v>
      </c>
    </row>
    <row r="13" spans="2:3" ht="12.75" customHeight="1" x14ac:dyDescent="0.2">
      <c r="B13" s="27"/>
      <c r="C13" s="28"/>
    </row>
    <row r="14" spans="2:3" ht="12.75" customHeight="1" x14ac:dyDescent="0.2">
      <c r="B14" s="27"/>
      <c r="C14" s="27" t="s">
        <v>118</v>
      </c>
    </row>
    <row r="15" spans="2:3" ht="12.75" customHeight="1" x14ac:dyDescent="0.2">
      <c r="B15" s="27"/>
      <c r="C15" s="27"/>
    </row>
    <row r="16" spans="2:3" ht="12.75" customHeight="1" x14ac:dyDescent="0.2">
      <c r="B16" s="27"/>
      <c r="C16" s="27" t="s">
        <v>119</v>
      </c>
    </row>
    <row r="17" spans="2:3" ht="12.75" customHeight="1" x14ac:dyDescent="0.2">
      <c r="B17" s="27"/>
      <c r="C17" s="27" t="s">
        <v>120</v>
      </c>
    </row>
    <row r="18" spans="2:3" ht="12.75" customHeight="1" x14ac:dyDescent="0.2">
      <c r="B18" s="27"/>
      <c r="C18" s="27"/>
    </row>
    <row r="19" spans="2:3" x14ac:dyDescent="0.2">
      <c r="B19" s="26"/>
      <c r="C19" s="26" t="s">
        <v>121</v>
      </c>
    </row>
    <row r="20" spans="2:3" x14ac:dyDescent="0.2">
      <c r="B20" s="27"/>
      <c r="C20" s="27"/>
    </row>
    <row r="21" spans="2:3" x14ac:dyDescent="0.2">
      <c r="B21" s="27"/>
      <c r="C21" s="27"/>
    </row>
    <row r="22" spans="2:3" x14ac:dyDescent="0.2">
      <c r="B22" s="27"/>
      <c r="C22" s="178" t="s">
        <v>122</v>
      </c>
    </row>
    <row r="23" spans="2:3" x14ac:dyDescent="0.2">
      <c r="B23" s="27"/>
      <c r="C23" s="178" t="s">
        <v>123</v>
      </c>
    </row>
    <row r="24" spans="2:3" x14ac:dyDescent="0.2">
      <c r="B24" s="27"/>
      <c r="C24" s="153"/>
    </row>
    <row r="25" spans="2:3" x14ac:dyDescent="0.2">
      <c r="B25" s="27"/>
      <c r="C25" s="153"/>
    </row>
    <row r="26" spans="2:3" ht="45.6" customHeight="1" x14ac:dyDescent="0.2">
      <c r="B26" s="27"/>
      <c r="C26" s="153"/>
    </row>
    <row r="27" spans="2:3" x14ac:dyDescent="0.2">
      <c r="B27" s="27"/>
      <c r="C27" s="27" t="s">
        <v>124</v>
      </c>
    </row>
    <row r="28" spans="2:3" x14ac:dyDescent="0.2">
      <c r="B28" s="27"/>
      <c r="C28" s="27" t="s">
        <v>130</v>
      </c>
    </row>
    <row r="29" spans="2:3" x14ac:dyDescent="0.2">
      <c r="B29" s="27"/>
      <c r="C29" s="27" t="s">
        <v>41</v>
      </c>
    </row>
    <row r="30" spans="2:3" x14ac:dyDescent="0.2">
      <c r="B30" s="27"/>
      <c r="C30" s="27" t="s">
        <v>42</v>
      </c>
    </row>
    <row r="31" spans="2:3" x14ac:dyDescent="0.2">
      <c r="B31" s="27"/>
      <c r="C31" s="27"/>
    </row>
    <row r="32" spans="2:3" x14ac:dyDescent="0.2">
      <c r="B32" s="27"/>
      <c r="C32" s="27"/>
    </row>
    <row r="33" spans="2:3" ht="23.25" customHeight="1" x14ac:dyDescent="0.2">
      <c r="B33" s="27"/>
      <c r="C33" s="27"/>
    </row>
    <row r="34" spans="2:3" x14ac:dyDescent="0.2">
      <c r="B34" s="27"/>
      <c r="C34" s="27" t="s">
        <v>125</v>
      </c>
    </row>
    <row r="35" spans="2:3" x14ac:dyDescent="0.2">
      <c r="B35" s="27"/>
      <c r="C35" s="27" t="s">
        <v>126</v>
      </c>
    </row>
    <row r="36" spans="2:3" x14ac:dyDescent="0.2">
      <c r="B36" s="27"/>
      <c r="C36" s="29"/>
    </row>
    <row r="37" spans="2:3" x14ac:dyDescent="0.2">
      <c r="B37" s="27"/>
      <c r="C37" s="27"/>
    </row>
    <row r="38" spans="2:3" x14ac:dyDescent="0.2">
      <c r="B38" s="27"/>
      <c r="C38" s="27"/>
    </row>
    <row r="39" spans="2:3" x14ac:dyDescent="0.2">
      <c r="B39" s="27"/>
      <c r="C39" s="30"/>
    </row>
    <row r="40" spans="2:3" x14ac:dyDescent="0.2">
      <c r="B40" s="27"/>
      <c r="C40" s="31" t="s">
        <v>43</v>
      </c>
    </row>
    <row r="41" spans="2:3" x14ac:dyDescent="0.2">
      <c r="B41" s="27"/>
      <c r="C41" s="31" t="s">
        <v>44</v>
      </c>
    </row>
    <row r="42" spans="2:3" x14ac:dyDescent="0.2">
      <c r="B42" s="27"/>
      <c r="C42" s="31" t="s">
        <v>45</v>
      </c>
    </row>
    <row r="43" spans="2:3" x14ac:dyDescent="0.2">
      <c r="B43" s="27"/>
      <c r="C43" s="31" t="s">
        <v>131</v>
      </c>
    </row>
    <row r="44" spans="2:3" x14ac:dyDescent="0.2">
      <c r="B44" s="27"/>
      <c r="C44" s="31" t="s">
        <v>132</v>
      </c>
    </row>
    <row r="45" spans="2:3" x14ac:dyDescent="0.2">
      <c r="B45" s="27"/>
    </row>
    <row r="46" spans="2:3" x14ac:dyDescent="0.2">
      <c r="B46" s="27"/>
      <c r="C46" s="27"/>
    </row>
    <row r="47" spans="2:3" x14ac:dyDescent="0.2">
      <c r="B47" s="27"/>
      <c r="C47" s="27"/>
    </row>
    <row r="48" spans="2:3" x14ac:dyDescent="0.2">
      <c r="B48" s="27"/>
      <c r="C48" s="27"/>
    </row>
    <row r="49" spans="2:3" x14ac:dyDescent="0.2">
      <c r="B49" s="27"/>
      <c r="C49" s="27"/>
    </row>
    <row r="50" spans="2:3" x14ac:dyDescent="0.2">
      <c r="B50" s="27"/>
      <c r="C50" s="27"/>
    </row>
    <row r="51" spans="2:3" x14ac:dyDescent="0.2">
      <c r="B51" s="27" t="s">
        <v>127</v>
      </c>
    </row>
    <row r="52" spans="2:3" x14ac:dyDescent="0.2">
      <c r="B52" s="27" t="s">
        <v>128</v>
      </c>
    </row>
    <row r="53" spans="2:3" x14ac:dyDescent="0.2">
      <c r="B53" t="s">
        <v>129</v>
      </c>
    </row>
    <row r="54" spans="2:3" x14ac:dyDescent="0.2">
      <c r="B54" s="27"/>
      <c r="C54" s="27"/>
    </row>
    <row r="55" spans="2:3" x14ac:dyDescent="0.2">
      <c r="B55" s="27"/>
      <c r="C55" s="27"/>
    </row>
    <row r="56" spans="2:3" ht="6" customHeight="1" x14ac:dyDescent="0.2">
      <c r="B56" s="27"/>
      <c r="C56" s="27"/>
    </row>
    <row r="57" spans="2:3" ht="19.2" x14ac:dyDescent="0.2">
      <c r="B57" s="93" t="s">
        <v>46</v>
      </c>
      <c r="C57" s="93"/>
    </row>
    <row r="58" spans="2:3" ht="6" customHeight="1" x14ac:dyDescent="0.2">
      <c r="B58" s="27"/>
      <c r="C58" s="27"/>
    </row>
    <row r="59" spans="2:3" x14ac:dyDescent="0.2">
      <c r="B59" s="27"/>
      <c r="C59" s="32" t="s">
        <v>47</v>
      </c>
    </row>
    <row r="60" spans="2:3" x14ac:dyDescent="0.2">
      <c r="B60" s="27"/>
      <c r="C60" s="32" t="s">
        <v>48</v>
      </c>
    </row>
    <row r="61" spans="2:3" x14ac:dyDescent="0.2">
      <c r="B61" s="27"/>
      <c r="C61" s="32" t="s">
        <v>49</v>
      </c>
    </row>
    <row r="62" spans="2:3" x14ac:dyDescent="0.2">
      <c r="B62" s="27"/>
      <c r="C62" s="32"/>
    </row>
    <row r="63" spans="2:3" x14ac:dyDescent="0.2">
      <c r="B63" s="27"/>
      <c r="C63" s="33"/>
    </row>
    <row r="64" spans="2:3" x14ac:dyDescent="0.2">
      <c r="B64" s="27"/>
      <c r="C64" s="33"/>
    </row>
    <row r="65" spans="2:3" x14ac:dyDescent="0.2">
      <c r="B65" s="27"/>
      <c r="C65" s="27"/>
    </row>
    <row r="66" spans="2:3" ht="19.2" x14ac:dyDescent="0.2">
      <c r="B66" s="93" t="s">
        <v>50</v>
      </c>
      <c r="C66" s="93"/>
    </row>
    <row r="67" spans="2:3" x14ac:dyDescent="0.2">
      <c r="B67" s="27"/>
      <c r="C67" s="154" t="s">
        <v>51</v>
      </c>
    </row>
    <row r="68" spans="2:3" x14ac:dyDescent="0.2">
      <c r="B68" s="27"/>
      <c r="C68" s="154" t="s">
        <v>52</v>
      </c>
    </row>
    <row r="69" spans="2:3" x14ac:dyDescent="0.2">
      <c r="B69" s="27"/>
      <c r="C69" s="154"/>
    </row>
    <row r="70" spans="2:3" x14ac:dyDescent="0.2">
      <c r="B70" s="27"/>
      <c r="C70" s="154" t="s">
        <v>53</v>
      </c>
    </row>
    <row r="71" spans="2:3" x14ac:dyDescent="0.2">
      <c r="B71" s="27"/>
      <c r="C71" s="154" t="s">
        <v>54</v>
      </c>
    </row>
    <row r="72" spans="2:3" x14ac:dyDescent="0.2">
      <c r="B72" s="27"/>
      <c r="C72" s="154"/>
    </row>
    <row r="73" spans="2:3" ht="25.5" customHeight="1" x14ac:dyDescent="0.2">
      <c r="B73" s="27"/>
      <c r="C73" s="30"/>
    </row>
    <row r="74" spans="2:3" ht="19.2" x14ac:dyDescent="0.2">
      <c r="B74" s="93" t="s">
        <v>110</v>
      </c>
      <c r="C74" s="93"/>
    </row>
    <row r="75" spans="2:3" x14ac:dyDescent="0.2">
      <c r="B75" s="27" t="s">
        <v>134</v>
      </c>
      <c r="C75" s="27"/>
    </row>
    <row r="76" spans="2:3" x14ac:dyDescent="0.2">
      <c r="B76" s="27" t="s">
        <v>135</v>
      </c>
      <c r="C76" s="27"/>
    </row>
    <row r="77" spans="2:3" x14ac:dyDescent="0.2">
      <c r="B77" s="27" t="s">
        <v>136</v>
      </c>
      <c r="C77" s="27"/>
    </row>
    <row r="78" spans="2:3" x14ac:dyDescent="0.2">
      <c r="B78" s="27" t="s">
        <v>137</v>
      </c>
      <c r="C78" s="27"/>
    </row>
    <row r="79" spans="2:3" ht="14.4" x14ac:dyDescent="0.3">
      <c r="B79" s="179" t="s">
        <v>133</v>
      </c>
      <c r="C79" s="27"/>
    </row>
    <row r="80" spans="2:3" ht="23.25" customHeight="1" x14ac:dyDescent="0.2">
      <c r="B80" s="27" t="s">
        <v>55</v>
      </c>
      <c r="C80" s="27"/>
    </row>
    <row r="81" spans="2:3" x14ac:dyDescent="0.2">
      <c r="B81" s="27"/>
      <c r="C81" s="27"/>
    </row>
    <row r="82" spans="2:3" ht="19.2" x14ac:dyDescent="0.2">
      <c r="B82" s="181" t="str">
        <f>"Besøg "&amp;HYPERLINK("http://www.xleasy.dk","www.xleasy.dk")</f>
        <v>Besøg www.xleasy.dk</v>
      </c>
      <c r="C82" s="181"/>
    </row>
  </sheetData>
  <sheetProtection sheet="1" objects="1" scenarios="1"/>
  <mergeCells count="1">
    <mergeCell ref="B82:C82"/>
  </mergeCells>
  <hyperlinks>
    <hyperlink ref="B79" r:id="rId1" xr:uid="{E6C83B2F-27DA-4C16-90D6-AA2E960ADE15}"/>
  </hyperlinks>
  <printOptions horizontalCentered="1"/>
  <pageMargins left="0.39370078740157483" right="0.27559055118110237" top="0.44" bottom="0.39" header="0.31496062992125984" footer="0.23"/>
  <pageSetup paperSize="9" scale="68" orientation="portrait" horizontalDpi="4294967294"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02">
    <outlinePr showOutlineSymbols="0"/>
  </sheetPr>
  <dimension ref="A1:E30"/>
  <sheetViews>
    <sheetView showGridLines="0" showRowColHeaders="0" showOutlineSymbols="0" topLeftCell="A2" zoomScaleNormal="100" workbookViewId="0">
      <selection activeCell="C14" sqref="C14"/>
    </sheetView>
  </sheetViews>
  <sheetFormatPr defaultColWidth="9" defaultRowHeight="12.6" x14ac:dyDescent="0.2"/>
  <cols>
    <col min="1" max="2" width="3.36328125" customWidth="1"/>
    <col min="3" max="3" width="33.7265625" customWidth="1"/>
    <col min="4" max="4" width="10.36328125" customWidth="1"/>
    <col min="5" max="5" width="4.7265625" customWidth="1"/>
  </cols>
  <sheetData>
    <row r="1" spans="1:5" hidden="1" x14ac:dyDescent="0.2">
      <c r="D1" s="125">
        <f>1/(24*(60/D7))</f>
        <v>3.8194444444444448E-2</v>
      </c>
    </row>
    <row r="3" spans="1:5" ht="18" thickBot="1" x14ac:dyDescent="0.35">
      <c r="A3" s="94"/>
      <c r="B3" s="102" t="s">
        <v>50</v>
      </c>
      <c r="C3" s="101"/>
      <c r="D3" s="101"/>
      <c r="E3" s="101"/>
    </row>
    <row r="4" spans="1:5" ht="18" thickBot="1" x14ac:dyDescent="0.25">
      <c r="B4" s="1" t="s">
        <v>60</v>
      </c>
      <c r="C4" s="1"/>
      <c r="D4" s="103">
        <v>3</v>
      </c>
      <c r="E4" s="37"/>
    </row>
    <row r="5" spans="1:5" ht="18" thickBot="1" x14ac:dyDescent="0.25">
      <c r="B5" s="1" t="s">
        <v>61</v>
      </c>
      <c r="C5" s="1"/>
      <c r="D5" s="103">
        <v>1</v>
      </c>
      <c r="E5" s="37"/>
    </row>
    <row r="6" spans="1:5" ht="18" thickBot="1" x14ac:dyDescent="0.25">
      <c r="B6" s="1" t="s">
        <v>62</v>
      </c>
      <c r="C6" s="1"/>
      <c r="D6" s="103">
        <v>0</v>
      </c>
      <c r="E6" s="37"/>
    </row>
    <row r="7" spans="1:5" ht="18" thickBot="1" x14ac:dyDescent="0.25">
      <c r="B7" s="1" t="s">
        <v>115</v>
      </c>
      <c r="C7" s="1"/>
      <c r="D7" s="104">
        <v>55</v>
      </c>
      <c r="E7" s="37" t="s">
        <v>0</v>
      </c>
    </row>
    <row r="9" spans="1:5" ht="18" thickBot="1" x14ac:dyDescent="0.35">
      <c r="A9" s="94"/>
      <c r="B9" s="95" t="s">
        <v>113</v>
      </c>
      <c r="C9" s="95"/>
    </row>
    <row r="10" spans="1:5" ht="18" thickBot="1" x14ac:dyDescent="0.35">
      <c r="A10" s="94"/>
      <c r="B10" s="182" t="s">
        <v>138</v>
      </c>
      <c r="C10" s="182"/>
    </row>
    <row r="13" spans="1:5" ht="18" thickBot="1" x14ac:dyDescent="0.35">
      <c r="A13" s="94"/>
      <c r="B13" s="95" t="s">
        <v>100</v>
      </c>
      <c r="C13" s="95"/>
    </row>
    <row r="14" spans="1:5" ht="18" thickBot="1" x14ac:dyDescent="0.35">
      <c r="A14" s="94"/>
      <c r="B14" s="98">
        <v>1</v>
      </c>
      <c r="C14" s="180" t="s">
        <v>10</v>
      </c>
    </row>
    <row r="15" spans="1:5" ht="18" thickBot="1" x14ac:dyDescent="0.35">
      <c r="A15" s="94"/>
      <c r="B15" s="98">
        <v>2</v>
      </c>
      <c r="C15" s="180" t="s">
        <v>11</v>
      </c>
    </row>
    <row r="16" spans="1:5" ht="18" thickBot="1" x14ac:dyDescent="0.35">
      <c r="A16" s="94"/>
      <c r="B16" s="98">
        <v>3</v>
      </c>
      <c r="C16" s="180" t="s">
        <v>12</v>
      </c>
    </row>
    <row r="17" spans="1:3" ht="18" thickBot="1" x14ac:dyDescent="0.35">
      <c r="A17" s="94"/>
      <c r="B17" s="98">
        <v>4</v>
      </c>
      <c r="C17" s="180" t="s">
        <v>13</v>
      </c>
    </row>
    <row r="18" spans="1:3" ht="18" thickBot="1" x14ac:dyDescent="0.35">
      <c r="A18" s="94"/>
      <c r="B18" s="98">
        <v>5</v>
      </c>
      <c r="C18" s="180" t="s">
        <v>14</v>
      </c>
    </row>
    <row r="19" spans="1:3" ht="18" thickBot="1" x14ac:dyDescent="0.35">
      <c r="A19" s="94"/>
      <c r="B19" s="98">
        <v>6</v>
      </c>
      <c r="C19" s="180" t="s">
        <v>15</v>
      </c>
    </row>
    <row r="20" spans="1:3" ht="18" thickBot="1" x14ac:dyDescent="0.35">
      <c r="A20" s="94"/>
      <c r="B20" s="98">
        <v>7</v>
      </c>
      <c r="C20" s="180" t="s">
        <v>56</v>
      </c>
    </row>
    <row r="21" spans="1:3" ht="18" thickBot="1" x14ac:dyDescent="0.35">
      <c r="A21" s="94"/>
      <c r="B21" s="98">
        <v>8</v>
      </c>
      <c r="C21" s="180" t="s">
        <v>57</v>
      </c>
    </row>
    <row r="22" spans="1:3" ht="18" thickBot="1" x14ac:dyDescent="0.35">
      <c r="A22" s="94"/>
      <c r="B22" s="98">
        <v>9</v>
      </c>
      <c r="C22" s="180" t="s">
        <v>58</v>
      </c>
    </row>
    <row r="23" spans="1:3" ht="18" thickBot="1" x14ac:dyDescent="0.35">
      <c r="A23" s="94"/>
      <c r="B23" s="98">
        <v>10</v>
      </c>
      <c r="C23" s="180" t="s">
        <v>59</v>
      </c>
    </row>
    <row r="25" spans="1:3" ht="16.2" x14ac:dyDescent="0.35">
      <c r="B25" s="2" t="s">
        <v>110</v>
      </c>
      <c r="C25" s="2"/>
    </row>
    <row r="26" spans="1:3" ht="17.399999999999999" x14ac:dyDescent="0.3">
      <c r="A26" s="94"/>
      <c r="B26" s="99">
        <v>1</v>
      </c>
      <c r="C26" s="96" t="s">
        <v>97</v>
      </c>
    </row>
    <row r="27" spans="1:3" ht="17.399999999999999" x14ac:dyDescent="0.3">
      <c r="A27" s="94"/>
      <c r="B27" s="99">
        <v>2</v>
      </c>
      <c r="C27" s="96" t="s">
        <v>111</v>
      </c>
    </row>
    <row r="28" spans="1:3" ht="17.399999999999999" x14ac:dyDescent="0.3">
      <c r="A28" s="94"/>
      <c r="B28" s="99">
        <v>3</v>
      </c>
      <c r="C28" s="96" t="s">
        <v>107</v>
      </c>
    </row>
    <row r="29" spans="1:3" ht="17.399999999999999" x14ac:dyDescent="0.3">
      <c r="A29" s="94"/>
      <c r="B29" s="100">
        <v>4</v>
      </c>
      <c r="C29" s="97" t="s">
        <v>108</v>
      </c>
    </row>
    <row r="30" spans="1:3" ht="17.399999999999999" x14ac:dyDescent="0.3">
      <c r="A30" s="94"/>
      <c r="B30" s="100">
        <v>5</v>
      </c>
      <c r="C30" s="97" t="s">
        <v>109</v>
      </c>
    </row>
  </sheetData>
  <sheetProtection sheet="1" objects="1" scenarios="1"/>
  <mergeCells count="1">
    <mergeCell ref="B10:C10"/>
  </mergeCells>
  <pageMargins left="0.7" right="0.7" top="0.75" bottom="0.75" header="0.3" footer="0.3"/>
  <pageSetup paperSize="9" orientation="portrait" horizontalDpi="4294967294"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03">
    <tabColor theme="0" tint="-0.499984740745262"/>
    <outlinePr showOutlineSymbols="0"/>
    <pageSetUpPr fitToPage="1"/>
  </sheetPr>
  <dimension ref="A2:C13"/>
  <sheetViews>
    <sheetView showGridLines="0" showRowColHeaders="0" showZeros="0" showOutlineSymbols="0" zoomScaleNormal="100" workbookViewId="0">
      <pane ySplit="2" topLeftCell="A3" activePane="bottomLeft" state="frozen"/>
      <selection activeCell="A3" sqref="A3"/>
      <selection pane="bottomLeft" activeCell="B2" sqref="B2"/>
    </sheetView>
  </sheetViews>
  <sheetFormatPr defaultRowHeight="12.6" x14ac:dyDescent="0.2"/>
  <cols>
    <col min="1" max="1" width="3.90625" customWidth="1"/>
    <col min="2" max="3" width="50.453125" customWidth="1"/>
    <col min="5" max="5" width="64.08984375" customWidth="1"/>
    <col min="246" max="246" width="4.453125" customWidth="1"/>
    <col min="247" max="248" width="5.08984375" customWidth="1"/>
    <col min="249" max="249" width="17.6328125" customWidth="1"/>
    <col min="250" max="250" width="18" customWidth="1"/>
    <col min="251" max="251" width="40.26953125" customWidth="1"/>
    <col min="252" max="252" width="7.453125" customWidth="1"/>
    <col min="253" max="253" width="1.6328125" customWidth="1"/>
    <col min="254" max="254" width="10" customWidth="1"/>
    <col min="502" max="502" width="4.453125" customWidth="1"/>
    <col min="503" max="504" width="5.08984375" customWidth="1"/>
    <col min="505" max="505" width="17.6328125" customWidth="1"/>
    <col min="506" max="506" width="18" customWidth="1"/>
    <col min="507" max="507" width="40.26953125" customWidth="1"/>
    <col min="508" max="508" width="7.453125" customWidth="1"/>
    <col min="509" max="509" width="1.6328125" customWidth="1"/>
    <col min="510" max="510" width="10" customWidth="1"/>
    <col min="758" max="758" width="4.453125" customWidth="1"/>
    <col min="759" max="760" width="5.08984375" customWidth="1"/>
    <col min="761" max="761" width="17.6328125" customWidth="1"/>
    <col min="762" max="762" width="18" customWidth="1"/>
    <col min="763" max="763" width="40.26953125" customWidth="1"/>
    <col min="764" max="764" width="7.453125" customWidth="1"/>
    <col min="765" max="765" width="1.6328125" customWidth="1"/>
    <col min="766" max="766" width="10" customWidth="1"/>
    <col min="1014" max="1014" width="4.453125" customWidth="1"/>
    <col min="1015" max="1016" width="5.08984375" customWidth="1"/>
    <col min="1017" max="1017" width="17.6328125" customWidth="1"/>
    <col min="1018" max="1018" width="18" customWidth="1"/>
    <col min="1019" max="1019" width="40.26953125" customWidth="1"/>
    <col min="1020" max="1020" width="7.453125" customWidth="1"/>
    <col min="1021" max="1021" width="1.6328125" customWidth="1"/>
    <col min="1022" max="1022" width="10" customWidth="1"/>
    <col min="1270" max="1270" width="4.453125" customWidth="1"/>
    <col min="1271" max="1272" width="5.08984375" customWidth="1"/>
    <col min="1273" max="1273" width="17.6328125" customWidth="1"/>
    <col min="1274" max="1274" width="18" customWidth="1"/>
    <col min="1275" max="1275" width="40.26953125" customWidth="1"/>
    <col min="1276" max="1276" width="7.453125" customWidth="1"/>
    <col min="1277" max="1277" width="1.6328125" customWidth="1"/>
    <col min="1278" max="1278" width="10" customWidth="1"/>
    <col min="1526" max="1526" width="4.453125" customWidth="1"/>
    <col min="1527" max="1528" width="5.08984375" customWidth="1"/>
    <col min="1529" max="1529" width="17.6328125" customWidth="1"/>
    <col min="1530" max="1530" width="18" customWidth="1"/>
    <col min="1531" max="1531" width="40.26953125" customWidth="1"/>
    <col min="1532" max="1532" width="7.453125" customWidth="1"/>
    <col min="1533" max="1533" width="1.6328125" customWidth="1"/>
    <col min="1534" max="1534" width="10" customWidth="1"/>
    <col min="1782" max="1782" width="4.453125" customWidth="1"/>
    <col min="1783" max="1784" width="5.08984375" customWidth="1"/>
    <col min="1785" max="1785" width="17.6328125" customWidth="1"/>
    <col min="1786" max="1786" width="18" customWidth="1"/>
    <col min="1787" max="1787" width="40.26953125" customWidth="1"/>
    <col min="1788" max="1788" width="7.453125" customWidth="1"/>
    <col min="1789" max="1789" width="1.6328125" customWidth="1"/>
    <col min="1790" max="1790" width="10" customWidth="1"/>
    <col min="2038" max="2038" width="4.453125" customWidth="1"/>
    <col min="2039" max="2040" width="5.08984375" customWidth="1"/>
    <col min="2041" max="2041" width="17.6328125" customWidth="1"/>
    <col min="2042" max="2042" width="18" customWidth="1"/>
    <col min="2043" max="2043" width="40.26953125" customWidth="1"/>
    <col min="2044" max="2044" width="7.453125" customWidth="1"/>
    <col min="2045" max="2045" width="1.6328125" customWidth="1"/>
    <col min="2046" max="2046" width="10" customWidth="1"/>
    <col min="2294" max="2294" width="4.453125" customWidth="1"/>
    <col min="2295" max="2296" width="5.08984375" customWidth="1"/>
    <col min="2297" max="2297" width="17.6328125" customWidth="1"/>
    <col min="2298" max="2298" width="18" customWidth="1"/>
    <col min="2299" max="2299" width="40.26953125" customWidth="1"/>
    <col min="2300" max="2300" width="7.453125" customWidth="1"/>
    <col min="2301" max="2301" width="1.6328125" customWidth="1"/>
    <col min="2302" max="2302" width="10" customWidth="1"/>
    <col min="2550" max="2550" width="4.453125" customWidth="1"/>
    <col min="2551" max="2552" width="5.08984375" customWidth="1"/>
    <col min="2553" max="2553" width="17.6328125" customWidth="1"/>
    <col min="2554" max="2554" width="18" customWidth="1"/>
    <col min="2555" max="2555" width="40.26953125" customWidth="1"/>
    <col min="2556" max="2556" width="7.453125" customWidth="1"/>
    <col min="2557" max="2557" width="1.6328125" customWidth="1"/>
    <col min="2558" max="2558" width="10" customWidth="1"/>
    <col min="2806" max="2806" width="4.453125" customWidth="1"/>
    <col min="2807" max="2808" width="5.08984375" customWidth="1"/>
    <col min="2809" max="2809" width="17.6328125" customWidth="1"/>
    <col min="2810" max="2810" width="18" customWidth="1"/>
    <col min="2811" max="2811" width="40.26953125" customWidth="1"/>
    <col min="2812" max="2812" width="7.453125" customWidth="1"/>
    <col min="2813" max="2813" width="1.6328125" customWidth="1"/>
    <col min="2814" max="2814" width="10" customWidth="1"/>
    <col min="3062" max="3062" width="4.453125" customWidth="1"/>
    <col min="3063" max="3064" width="5.08984375" customWidth="1"/>
    <col min="3065" max="3065" width="17.6328125" customWidth="1"/>
    <col min="3066" max="3066" width="18" customWidth="1"/>
    <col min="3067" max="3067" width="40.26953125" customWidth="1"/>
    <col min="3068" max="3068" width="7.453125" customWidth="1"/>
    <col min="3069" max="3069" width="1.6328125" customWidth="1"/>
    <col min="3070" max="3070" width="10" customWidth="1"/>
    <col min="3318" max="3318" width="4.453125" customWidth="1"/>
    <col min="3319" max="3320" width="5.08984375" customWidth="1"/>
    <col min="3321" max="3321" width="17.6328125" customWidth="1"/>
    <col min="3322" max="3322" width="18" customWidth="1"/>
    <col min="3323" max="3323" width="40.26953125" customWidth="1"/>
    <col min="3324" max="3324" width="7.453125" customWidth="1"/>
    <col min="3325" max="3325" width="1.6328125" customWidth="1"/>
    <col min="3326" max="3326" width="10" customWidth="1"/>
    <col min="3574" max="3574" width="4.453125" customWidth="1"/>
    <col min="3575" max="3576" width="5.08984375" customWidth="1"/>
    <col min="3577" max="3577" width="17.6328125" customWidth="1"/>
    <col min="3578" max="3578" width="18" customWidth="1"/>
    <col min="3579" max="3579" width="40.26953125" customWidth="1"/>
    <col min="3580" max="3580" width="7.453125" customWidth="1"/>
    <col min="3581" max="3581" width="1.6328125" customWidth="1"/>
    <col min="3582" max="3582" width="10" customWidth="1"/>
    <col min="3830" max="3830" width="4.453125" customWidth="1"/>
    <col min="3831" max="3832" width="5.08984375" customWidth="1"/>
    <col min="3833" max="3833" width="17.6328125" customWidth="1"/>
    <col min="3834" max="3834" width="18" customWidth="1"/>
    <col min="3835" max="3835" width="40.26953125" customWidth="1"/>
    <col min="3836" max="3836" width="7.453125" customWidth="1"/>
    <col min="3837" max="3837" width="1.6328125" customWidth="1"/>
    <col min="3838" max="3838" width="10" customWidth="1"/>
    <col min="4086" max="4086" width="4.453125" customWidth="1"/>
    <col min="4087" max="4088" width="5.08984375" customWidth="1"/>
    <col min="4089" max="4089" width="17.6328125" customWidth="1"/>
    <col min="4090" max="4090" width="18" customWidth="1"/>
    <col min="4091" max="4091" width="40.26953125" customWidth="1"/>
    <col min="4092" max="4092" width="7.453125" customWidth="1"/>
    <col min="4093" max="4093" width="1.6328125" customWidth="1"/>
    <col min="4094" max="4094" width="10" customWidth="1"/>
    <col min="4342" max="4342" width="4.453125" customWidth="1"/>
    <col min="4343" max="4344" width="5.08984375" customWidth="1"/>
    <col min="4345" max="4345" width="17.6328125" customWidth="1"/>
    <col min="4346" max="4346" width="18" customWidth="1"/>
    <col min="4347" max="4347" width="40.26953125" customWidth="1"/>
    <col min="4348" max="4348" width="7.453125" customWidth="1"/>
    <col min="4349" max="4349" width="1.6328125" customWidth="1"/>
    <col min="4350" max="4350" width="10" customWidth="1"/>
    <col min="4598" max="4598" width="4.453125" customWidth="1"/>
    <col min="4599" max="4600" width="5.08984375" customWidth="1"/>
    <col min="4601" max="4601" width="17.6328125" customWidth="1"/>
    <col min="4602" max="4602" width="18" customWidth="1"/>
    <col min="4603" max="4603" width="40.26953125" customWidth="1"/>
    <col min="4604" max="4604" width="7.453125" customWidth="1"/>
    <col min="4605" max="4605" width="1.6328125" customWidth="1"/>
    <col min="4606" max="4606" width="10" customWidth="1"/>
    <col min="4854" max="4854" width="4.453125" customWidth="1"/>
    <col min="4855" max="4856" width="5.08984375" customWidth="1"/>
    <col min="4857" max="4857" width="17.6328125" customWidth="1"/>
    <col min="4858" max="4858" width="18" customWidth="1"/>
    <col min="4859" max="4859" width="40.26953125" customWidth="1"/>
    <col min="4860" max="4860" width="7.453125" customWidth="1"/>
    <col min="4861" max="4861" width="1.6328125" customWidth="1"/>
    <col min="4862" max="4862" width="10" customWidth="1"/>
    <col min="5110" max="5110" width="4.453125" customWidth="1"/>
    <col min="5111" max="5112" width="5.08984375" customWidth="1"/>
    <col min="5113" max="5113" width="17.6328125" customWidth="1"/>
    <col min="5114" max="5114" width="18" customWidth="1"/>
    <col min="5115" max="5115" width="40.26953125" customWidth="1"/>
    <col min="5116" max="5116" width="7.453125" customWidth="1"/>
    <col min="5117" max="5117" width="1.6328125" customWidth="1"/>
    <col min="5118" max="5118" width="10" customWidth="1"/>
    <col min="5366" max="5366" width="4.453125" customWidth="1"/>
    <col min="5367" max="5368" width="5.08984375" customWidth="1"/>
    <col min="5369" max="5369" width="17.6328125" customWidth="1"/>
    <col min="5370" max="5370" width="18" customWidth="1"/>
    <col min="5371" max="5371" width="40.26953125" customWidth="1"/>
    <col min="5372" max="5372" width="7.453125" customWidth="1"/>
    <col min="5373" max="5373" width="1.6328125" customWidth="1"/>
    <col min="5374" max="5374" width="10" customWidth="1"/>
    <col min="5622" max="5622" width="4.453125" customWidth="1"/>
    <col min="5623" max="5624" width="5.08984375" customWidth="1"/>
    <col min="5625" max="5625" width="17.6328125" customWidth="1"/>
    <col min="5626" max="5626" width="18" customWidth="1"/>
    <col min="5627" max="5627" width="40.26953125" customWidth="1"/>
    <col min="5628" max="5628" width="7.453125" customWidth="1"/>
    <col min="5629" max="5629" width="1.6328125" customWidth="1"/>
    <col min="5630" max="5630" width="10" customWidth="1"/>
    <col min="5878" max="5878" width="4.453125" customWidth="1"/>
    <col min="5879" max="5880" width="5.08984375" customWidth="1"/>
    <col min="5881" max="5881" width="17.6328125" customWidth="1"/>
    <col min="5882" max="5882" width="18" customWidth="1"/>
    <col min="5883" max="5883" width="40.26953125" customWidth="1"/>
    <col min="5884" max="5884" width="7.453125" customWidth="1"/>
    <col min="5885" max="5885" width="1.6328125" customWidth="1"/>
    <col min="5886" max="5886" width="10" customWidth="1"/>
    <col min="6134" max="6134" width="4.453125" customWidth="1"/>
    <col min="6135" max="6136" width="5.08984375" customWidth="1"/>
    <col min="6137" max="6137" width="17.6328125" customWidth="1"/>
    <col min="6138" max="6138" width="18" customWidth="1"/>
    <col min="6139" max="6139" width="40.26953125" customWidth="1"/>
    <col min="6140" max="6140" width="7.453125" customWidth="1"/>
    <col min="6141" max="6141" width="1.6328125" customWidth="1"/>
    <col min="6142" max="6142" width="10" customWidth="1"/>
    <col min="6390" max="6390" width="4.453125" customWidth="1"/>
    <col min="6391" max="6392" width="5.08984375" customWidth="1"/>
    <col min="6393" max="6393" width="17.6328125" customWidth="1"/>
    <col min="6394" max="6394" width="18" customWidth="1"/>
    <col min="6395" max="6395" width="40.26953125" customWidth="1"/>
    <col min="6396" max="6396" width="7.453125" customWidth="1"/>
    <col min="6397" max="6397" width="1.6328125" customWidth="1"/>
    <col min="6398" max="6398" width="10" customWidth="1"/>
    <col min="6646" max="6646" width="4.453125" customWidth="1"/>
    <col min="6647" max="6648" width="5.08984375" customWidth="1"/>
    <col min="6649" max="6649" width="17.6328125" customWidth="1"/>
    <col min="6650" max="6650" width="18" customWidth="1"/>
    <col min="6651" max="6651" width="40.26953125" customWidth="1"/>
    <col min="6652" max="6652" width="7.453125" customWidth="1"/>
    <col min="6653" max="6653" width="1.6328125" customWidth="1"/>
    <col min="6654" max="6654" width="10" customWidth="1"/>
    <col min="6902" max="6902" width="4.453125" customWidth="1"/>
    <col min="6903" max="6904" width="5.08984375" customWidth="1"/>
    <col min="6905" max="6905" width="17.6328125" customWidth="1"/>
    <col min="6906" max="6906" width="18" customWidth="1"/>
    <col min="6907" max="6907" width="40.26953125" customWidth="1"/>
    <col min="6908" max="6908" width="7.453125" customWidth="1"/>
    <col min="6909" max="6909" width="1.6328125" customWidth="1"/>
    <col min="6910" max="6910" width="10" customWidth="1"/>
    <col min="7158" max="7158" width="4.453125" customWidth="1"/>
    <col min="7159" max="7160" width="5.08984375" customWidth="1"/>
    <col min="7161" max="7161" width="17.6328125" customWidth="1"/>
    <col min="7162" max="7162" width="18" customWidth="1"/>
    <col min="7163" max="7163" width="40.26953125" customWidth="1"/>
    <col min="7164" max="7164" width="7.453125" customWidth="1"/>
    <col min="7165" max="7165" width="1.6328125" customWidth="1"/>
    <col min="7166" max="7166" width="10" customWidth="1"/>
    <col min="7414" max="7414" width="4.453125" customWidth="1"/>
    <col min="7415" max="7416" width="5.08984375" customWidth="1"/>
    <col min="7417" max="7417" width="17.6328125" customWidth="1"/>
    <col min="7418" max="7418" width="18" customWidth="1"/>
    <col min="7419" max="7419" width="40.26953125" customWidth="1"/>
    <col min="7420" max="7420" width="7.453125" customWidth="1"/>
    <col min="7421" max="7421" width="1.6328125" customWidth="1"/>
    <col min="7422" max="7422" width="10" customWidth="1"/>
    <col min="7670" max="7670" width="4.453125" customWidth="1"/>
    <col min="7671" max="7672" width="5.08984375" customWidth="1"/>
    <col min="7673" max="7673" width="17.6328125" customWidth="1"/>
    <col min="7674" max="7674" width="18" customWidth="1"/>
    <col min="7675" max="7675" width="40.26953125" customWidth="1"/>
    <col min="7676" max="7676" width="7.453125" customWidth="1"/>
    <col min="7677" max="7677" width="1.6328125" customWidth="1"/>
    <col min="7678" max="7678" width="10" customWidth="1"/>
    <col min="7926" max="7926" width="4.453125" customWidth="1"/>
    <col min="7927" max="7928" width="5.08984375" customWidth="1"/>
    <col min="7929" max="7929" width="17.6328125" customWidth="1"/>
    <col min="7930" max="7930" width="18" customWidth="1"/>
    <col min="7931" max="7931" width="40.26953125" customWidth="1"/>
    <col min="7932" max="7932" width="7.453125" customWidth="1"/>
    <col min="7933" max="7933" width="1.6328125" customWidth="1"/>
    <col min="7934" max="7934" width="10" customWidth="1"/>
    <col min="8182" max="8182" width="4.453125" customWidth="1"/>
    <col min="8183" max="8184" width="5.08984375" customWidth="1"/>
    <col min="8185" max="8185" width="17.6328125" customWidth="1"/>
    <col min="8186" max="8186" width="18" customWidth="1"/>
    <col min="8187" max="8187" width="40.26953125" customWidth="1"/>
    <col min="8188" max="8188" width="7.453125" customWidth="1"/>
    <col min="8189" max="8189" width="1.6328125" customWidth="1"/>
    <col min="8190" max="8190" width="10" customWidth="1"/>
    <col min="8438" max="8438" width="4.453125" customWidth="1"/>
    <col min="8439" max="8440" width="5.08984375" customWidth="1"/>
    <col min="8441" max="8441" width="17.6328125" customWidth="1"/>
    <col min="8442" max="8442" width="18" customWidth="1"/>
    <col min="8443" max="8443" width="40.26953125" customWidth="1"/>
    <col min="8444" max="8444" width="7.453125" customWidth="1"/>
    <col min="8445" max="8445" width="1.6328125" customWidth="1"/>
    <col min="8446" max="8446" width="10" customWidth="1"/>
    <col min="8694" max="8694" width="4.453125" customWidth="1"/>
    <col min="8695" max="8696" width="5.08984375" customWidth="1"/>
    <col min="8697" max="8697" width="17.6328125" customWidth="1"/>
    <col min="8698" max="8698" width="18" customWidth="1"/>
    <col min="8699" max="8699" width="40.26953125" customWidth="1"/>
    <col min="8700" max="8700" width="7.453125" customWidth="1"/>
    <col min="8701" max="8701" width="1.6328125" customWidth="1"/>
    <col min="8702" max="8702" width="10" customWidth="1"/>
    <col min="8950" max="8950" width="4.453125" customWidth="1"/>
    <col min="8951" max="8952" width="5.08984375" customWidth="1"/>
    <col min="8953" max="8953" width="17.6328125" customWidth="1"/>
    <col min="8954" max="8954" width="18" customWidth="1"/>
    <col min="8955" max="8955" width="40.26953125" customWidth="1"/>
    <col min="8956" max="8956" width="7.453125" customWidth="1"/>
    <col min="8957" max="8957" width="1.6328125" customWidth="1"/>
    <col min="8958" max="8958" width="10" customWidth="1"/>
    <col min="9206" max="9206" width="4.453125" customWidth="1"/>
    <col min="9207" max="9208" width="5.08984375" customWidth="1"/>
    <col min="9209" max="9209" width="17.6328125" customWidth="1"/>
    <col min="9210" max="9210" width="18" customWidth="1"/>
    <col min="9211" max="9211" width="40.26953125" customWidth="1"/>
    <col min="9212" max="9212" width="7.453125" customWidth="1"/>
    <col min="9213" max="9213" width="1.6328125" customWidth="1"/>
    <col min="9214" max="9214" width="10" customWidth="1"/>
    <col min="9462" max="9462" width="4.453125" customWidth="1"/>
    <col min="9463" max="9464" width="5.08984375" customWidth="1"/>
    <col min="9465" max="9465" width="17.6328125" customWidth="1"/>
    <col min="9466" max="9466" width="18" customWidth="1"/>
    <col min="9467" max="9467" width="40.26953125" customWidth="1"/>
    <col min="9468" max="9468" width="7.453125" customWidth="1"/>
    <col min="9469" max="9469" width="1.6328125" customWidth="1"/>
    <col min="9470" max="9470" width="10" customWidth="1"/>
    <col min="9718" max="9718" width="4.453125" customWidth="1"/>
    <col min="9719" max="9720" width="5.08984375" customWidth="1"/>
    <col min="9721" max="9721" width="17.6328125" customWidth="1"/>
    <col min="9722" max="9722" width="18" customWidth="1"/>
    <col min="9723" max="9723" width="40.26953125" customWidth="1"/>
    <col min="9724" max="9724" width="7.453125" customWidth="1"/>
    <col min="9725" max="9725" width="1.6328125" customWidth="1"/>
    <col min="9726" max="9726" width="10" customWidth="1"/>
    <col min="9974" max="9974" width="4.453125" customWidth="1"/>
    <col min="9975" max="9976" width="5.08984375" customWidth="1"/>
    <col min="9977" max="9977" width="17.6328125" customWidth="1"/>
    <col min="9978" max="9978" width="18" customWidth="1"/>
    <col min="9979" max="9979" width="40.26953125" customWidth="1"/>
    <col min="9980" max="9980" width="7.453125" customWidth="1"/>
    <col min="9981" max="9981" width="1.6328125" customWidth="1"/>
    <col min="9982" max="9982" width="10" customWidth="1"/>
    <col min="10230" max="10230" width="4.453125" customWidth="1"/>
    <col min="10231" max="10232" width="5.08984375" customWidth="1"/>
    <col min="10233" max="10233" width="17.6328125" customWidth="1"/>
    <col min="10234" max="10234" width="18" customWidth="1"/>
    <col min="10235" max="10235" width="40.26953125" customWidth="1"/>
    <col min="10236" max="10236" width="7.453125" customWidth="1"/>
    <col min="10237" max="10237" width="1.6328125" customWidth="1"/>
    <col min="10238" max="10238" width="10" customWidth="1"/>
    <col min="10486" max="10486" width="4.453125" customWidth="1"/>
    <col min="10487" max="10488" width="5.08984375" customWidth="1"/>
    <col min="10489" max="10489" width="17.6328125" customWidth="1"/>
    <col min="10490" max="10490" width="18" customWidth="1"/>
    <col min="10491" max="10491" width="40.26953125" customWidth="1"/>
    <col min="10492" max="10492" width="7.453125" customWidth="1"/>
    <col min="10493" max="10493" width="1.6328125" customWidth="1"/>
    <col min="10494" max="10494" width="10" customWidth="1"/>
    <col min="10742" max="10742" width="4.453125" customWidth="1"/>
    <col min="10743" max="10744" width="5.08984375" customWidth="1"/>
    <col min="10745" max="10745" width="17.6328125" customWidth="1"/>
    <col min="10746" max="10746" width="18" customWidth="1"/>
    <col min="10747" max="10747" width="40.26953125" customWidth="1"/>
    <col min="10748" max="10748" width="7.453125" customWidth="1"/>
    <col min="10749" max="10749" width="1.6328125" customWidth="1"/>
    <col min="10750" max="10750" width="10" customWidth="1"/>
    <col min="10998" max="10998" width="4.453125" customWidth="1"/>
    <col min="10999" max="11000" width="5.08984375" customWidth="1"/>
    <col min="11001" max="11001" width="17.6328125" customWidth="1"/>
    <col min="11002" max="11002" width="18" customWidth="1"/>
    <col min="11003" max="11003" width="40.26953125" customWidth="1"/>
    <col min="11004" max="11004" width="7.453125" customWidth="1"/>
    <col min="11005" max="11005" width="1.6328125" customWidth="1"/>
    <col min="11006" max="11006" width="10" customWidth="1"/>
    <col min="11254" max="11254" width="4.453125" customWidth="1"/>
    <col min="11255" max="11256" width="5.08984375" customWidth="1"/>
    <col min="11257" max="11257" width="17.6328125" customWidth="1"/>
    <col min="11258" max="11258" width="18" customWidth="1"/>
    <col min="11259" max="11259" width="40.26953125" customWidth="1"/>
    <col min="11260" max="11260" width="7.453125" customWidth="1"/>
    <col min="11261" max="11261" width="1.6328125" customWidth="1"/>
    <col min="11262" max="11262" width="10" customWidth="1"/>
    <col min="11510" max="11510" width="4.453125" customWidth="1"/>
    <col min="11511" max="11512" width="5.08984375" customWidth="1"/>
    <col min="11513" max="11513" width="17.6328125" customWidth="1"/>
    <col min="11514" max="11514" width="18" customWidth="1"/>
    <col min="11515" max="11515" width="40.26953125" customWidth="1"/>
    <col min="11516" max="11516" width="7.453125" customWidth="1"/>
    <col min="11517" max="11517" width="1.6328125" customWidth="1"/>
    <col min="11518" max="11518" width="10" customWidth="1"/>
    <col min="11766" max="11766" width="4.453125" customWidth="1"/>
    <col min="11767" max="11768" width="5.08984375" customWidth="1"/>
    <col min="11769" max="11769" width="17.6328125" customWidth="1"/>
    <col min="11770" max="11770" width="18" customWidth="1"/>
    <col min="11771" max="11771" width="40.26953125" customWidth="1"/>
    <col min="11772" max="11772" width="7.453125" customWidth="1"/>
    <col min="11773" max="11773" width="1.6328125" customWidth="1"/>
    <col min="11774" max="11774" width="10" customWidth="1"/>
    <col min="12022" max="12022" width="4.453125" customWidth="1"/>
    <col min="12023" max="12024" width="5.08984375" customWidth="1"/>
    <col min="12025" max="12025" width="17.6328125" customWidth="1"/>
    <col min="12026" max="12026" width="18" customWidth="1"/>
    <col min="12027" max="12027" width="40.26953125" customWidth="1"/>
    <col min="12028" max="12028" width="7.453125" customWidth="1"/>
    <col min="12029" max="12029" width="1.6328125" customWidth="1"/>
    <col min="12030" max="12030" width="10" customWidth="1"/>
    <col min="12278" max="12278" width="4.453125" customWidth="1"/>
    <col min="12279" max="12280" width="5.08984375" customWidth="1"/>
    <col min="12281" max="12281" width="17.6328125" customWidth="1"/>
    <col min="12282" max="12282" width="18" customWidth="1"/>
    <col min="12283" max="12283" width="40.26953125" customWidth="1"/>
    <col min="12284" max="12284" width="7.453125" customWidth="1"/>
    <col min="12285" max="12285" width="1.6328125" customWidth="1"/>
    <col min="12286" max="12286" width="10" customWidth="1"/>
    <col min="12534" max="12534" width="4.453125" customWidth="1"/>
    <col min="12535" max="12536" width="5.08984375" customWidth="1"/>
    <col min="12537" max="12537" width="17.6328125" customWidth="1"/>
    <col min="12538" max="12538" width="18" customWidth="1"/>
    <col min="12539" max="12539" width="40.26953125" customWidth="1"/>
    <col min="12540" max="12540" width="7.453125" customWidth="1"/>
    <col min="12541" max="12541" width="1.6328125" customWidth="1"/>
    <col min="12542" max="12542" width="10" customWidth="1"/>
    <col min="12790" max="12790" width="4.453125" customWidth="1"/>
    <col min="12791" max="12792" width="5.08984375" customWidth="1"/>
    <col min="12793" max="12793" width="17.6328125" customWidth="1"/>
    <col min="12794" max="12794" width="18" customWidth="1"/>
    <col min="12795" max="12795" width="40.26953125" customWidth="1"/>
    <col min="12796" max="12796" width="7.453125" customWidth="1"/>
    <col min="12797" max="12797" width="1.6328125" customWidth="1"/>
    <col min="12798" max="12798" width="10" customWidth="1"/>
    <col min="13046" max="13046" width="4.453125" customWidth="1"/>
    <col min="13047" max="13048" width="5.08984375" customWidth="1"/>
    <col min="13049" max="13049" width="17.6328125" customWidth="1"/>
    <col min="13050" max="13050" width="18" customWidth="1"/>
    <col min="13051" max="13051" width="40.26953125" customWidth="1"/>
    <col min="13052" max="13052" width="7.453125" customWidth="1"/>
    <col min="13053" max="13053" width="1.6328125" customWidth="1"/>
    <col min="13054" max="13054" width="10" customWidth="1"/>
    <col min="13302" max="13302" width="4.453125" customWidth="1"/>
    <col min="13303" max="13304" width="5.08984375" customWidth="1"/>
    <col min="13305" max="13305" width="17.6328125" customWidth="1"/>
    <col min="13306" max="13306" width="18" customWidth="1"/>
    <col min="13307" max="13307" width="40.26953125" customWidth="1"/>
    <col min="13308" max="13308" width="7.453125" customWidth="1"/>
    <col min="13309" max="13309" width="1.6328125" customWidth="1"/>
    <col min="13310" max="13310" width="10" customWidth="1"/>
    <col min="13558" max="13558" width="4.453125" customWidth="1"/>
    <col min="13559" max="13560" width="5.08984375" customWidth="1"/>
    <col min="13561" max="13561" width="17.6328125" customWidth="1"/>
    <col min="13562" max="13562" width="18" customWidth="1"/>
    <col min="13563" max="13563" width="40.26953125" customWidth="1"/>
    <col min="13564" max="13564" width="7.453125" customWidth="1"/>
    <col min="13565" max="13565" width="1.6328125" customWidth="1"/>
    <col min="13566" max="13566" width="10" customWidth="1"/>
    <col min="13814" max="13814" width="4.453125" customWidth="1"/>
    <col min="13815" max="13816" width="5.08984375" customWidth="1"/>
    <col min="13817" max="13817" width="17.6328125" customWidth="1"/>
    <col min="13818" max="13818" width="18" customWidth="1"/>
    <col min="13819" max="13819" width="40.26953125" customWidth="1"/>
    <col min="13820" max="13820" width="7.453125" customWidth="1"/>
    <col min="13821" max="13821" width="1.6328125" customWidth="1"/>
    <col min="13822" max="13822" width="10" customWidth="1"/>
    <col min="14070" max="14070" width="4.453125" customWidth="1"/>
    <col min="14071" max="14072" width="5.08984375" customWidth="1"/>
    <col min="14073" max="14073" width="17.6328125" customWidth="1"/>
    <col min="14074" max="14074" width="18" customWidth="1"/>
    <col min="14075" max="14075" width="40.26953125" customWidth="1"/>
    <col min="14076" max="14076" width="7.453125" customWidth="1"/>
    <col min="14077" max="14077" width="1.6328125" customWidth="1"/>
    <col min="14078" max="14078" width="10" customWidth="1"/>
    <col min="14326" max="14326" width="4.453125" customWidth="1"/>
    <col min="14327" max="14328" width="5.08984375" customWidth="1"/>
    <col min="14329" max="14329" width="17.6328125" customWidth="1"/>
    <col min="14330" max="14330" width="18" customWidth="1"/>
    <col min="14331" max="14331" width="40.26953125" customWidth="1"/>
    <col min="14332" max="14332" width="7.453125" customWidth="1"/>
    <col min="14333" max="14333" width="1.6328125" customWidth="1"/>
    <col min="14334" max="14334" width="10" customWidth="1"/>
    <col min="14582" max="14582" width="4.453125" customWidth="1"/>
    <col min="14583" max="14584" width="5.08984375" customWidth="1"/>
    <col min="14585" max="14585" width="17.6328125" customWidth="1"/>
    <col min="14586" max="14586" width="18" customWidth="1"/>
    <col min="14587" max="14587" width="40.26953125" customWidth="1"/>
    <col min="14588" max="14588" width="7.453125" customWidth="1"/>
    <col min="14589" max="14589" width="1.6328125" customWidth="1"/>
    <col min="14590" max="14590" width="10" customWidth="1"/>
    <col min="14838" max="14838" width="4.453125" customWidth="1"/>
    <col min="14839" max="14840" width="5.08984375" customWidth="1"/>
    <col min="14841" max="14841" width="17.6328125" customWidth="1"/>
    <col min="14842" max="14842" width="18" customWidth="1"/>
    <col min="14843" max="14843" width="40.26953125" customWidth="1"/>
    <col min="14844" max="14844" width="7.453125" customWidth="1"/>
    <col min="14845" max="14845" width="1.6328125" customWidth="1"/>
    <col min="14846" max="14846" width="10" customWidth="1"/>
    <col min="15094" max="15094" width="4.453125" customWidth="1"/>
    <col min="15095" max="15096" width="5.08984375" customWidth="1"/>
    <col min="15097" max="15097" width="17.6328125" customWidth="1"/>
    <col min="15098" max="15098" width="18" customWidth="1"/>
    <col min="15099" max="15099" width="40.26953125" customWidth="1"/>
    <col min="15100" max="15100" width="7.453125" customWidth="1"/>
    <col min="15101" max="15101" width="1.6328125" customWidth="1"/>
    <col min="15102" max="15102" width="10" customWidth="1"/>
    <col min="15350" max="15350" width="4.453125" customWidth="1"/>
    <col min="15351" max="15352" width="5.08984375" customWidth="1"/>
    <col min="15353" max="15353" width="17.6328125" customWidth="1"/>
    <col min="15354" max="15354" width="18" customWidth="1"/>
    <col min="15355" max="15355" width="40.26953125" customWidth="1"/>
    <col min="15356" max="15356" width="7.453125" customWidth="1"/>
    <col min="15357" max="15357" width="1.6328125" customWidth="1"/>
    <col min="15358" max="15358" width="10" customWidth="1"/>
    <col min="15606" max="15606" width="4.453125" customWidth="1"/>
    <col min="15607" max="15608" width="5.08984375" customWidth="1"/>
    <col min="15609" max="15609" width="17.6328125" customWidth="1"/>
    <col min="15610" max="15610" width="18" customWidth="1"/>
    <col min="15611" max="15611" width="40.26953125" customWidth="1"/>
    <col min="15612" max="15612" width="7.453125" customWidth="1"/>
    <col min="15613" max="15613" width="1.6328125" customWidth="1"/>
    <col min="15614" max="15614" width="10" customWidth="1"/>
    <col min="15862" max="15862" width="4.453125" customWidth="1"/>
    <col min="15863" max="15864" width="5.08984375" customWidth="1"/>
    <col min="15865" max="15865" width="17.6328125" customWidth="1"/>
    <col min="15866" max="15866" width="18" customWidth="1"/>
    <col min="15867" max="15867" width="40.26953125" customWidth="1"/>
    <col min="15868" max="15868" width="7.453125" customWidth="1"/>
    <col min="15869" max="15869" width="1.6328125" customWidth="1"/>
    <col min="15870" max="15870" width="10" customWidth="1"/>
    <col min="16118" max="16118" width="4.453125" customWidth="1"/>
    <col min="16119" max="16120" width="5.08984375" customWidth="1"/>
    <col min="16121" max="16121" width="17.6328125" customWidth="1"/>
    <col min="16122" max="16122" width="18" customWidth="1"/>
    <col min="16123" max="16123" width="40.26953125" customWidth="1"/>
    <col min="16124" max="16124" width="7.453125" customWidth="1"/>
    <col min="16125" max="16125" width="1.6328125" customWidth="1"/>
    <col min="16126" max="16126" width="10" customWidth="1"/>
  </cols>
  <sheetData>
    <row r="2" spans="1:3" ht="30" customHeight="1" x14ac:dyDescent="0.2">
      <c r="B2" s="74" t="str">
        <f>"FAIR BRUG af "&amp;appNameLong</f>
        <v>FAIR BRUG af xlEasy Turnering 03x2, 04x1, 04x2, 05x1</v>
      </c>
      <c r="C2" s="73"/>
    </row>
    <row r="4" spans="1:3" ht="49.5" customHeight="1" x14ac:dyDescent="0.2">
      <c r="B4" s="183" t="s">
        <v>93</v>
      </c>
      <c r="C4" s="183"/>
    </row>
    <row r="5" spans="1:3" ht="26.25" customHeight="1" x14ac:dyDescent="0.2">
      <c r="B5" s="183" t="s">
        <v>92</v>
      </c>
      <c r="C5" s="183"/>
    </row>
    <row r="6" spans="1:3" x14ac:dyDescent="0.2">
      <c r="B6" s="71"/>
      <c r="C6" s="71"/>
    </row>
    <row r="7" spans="1:3" x14ac:dyDescent="0.2">
      <c r="B7" s="72" t="s">
        <v>91</v>
      </c>
      <c r="C7" s="71"/>
    </row>
    <row r="8" spans="1:3" ht="91.5" customHeight="1" x14ac:dyDescent="0.2">
      <c r="B8" s="183" t="s">
        <v>90</v>
      </c>
      <c r="C8" s="183"/>
    </row>
    <row r="9" spans="1:3" x14ac:dyDescent="0.2">
      <c r="B9" s="71"/>
      <c r="C9" s="71"/>
    </row>
    <row r="10" spans="1:3" x14ac:dyDescent="0.2">
      <c r="B10" s="71" t="str">
        <f ca="1">"© Elting ApS, "&amp;TEXT(TODAY(),"åååå")</f>
        <v>© Elting ApS, 2020</v>
      </c>
      <c r="C10" s="71"/>
    </row>
    <row r="11" spans="1:3" x14ac:dyDescent="0.2">
      <c r="B11" s="71"/>
      <c r="C11" s="71"/>
    </row>
    <row r="12" spans="1:3" ht="24.6" x14ac:dyDescent="0.4">
      <c r="A12" s="70"/>
      <c r="B12" s="184" t="s">
        <v>89</v>
      </c>
      <c r="C12" s="184"/>
    </row>
    <row r="13" spans="1:3" ht="60.75" customHeight="1" x14ac:dyDescent="0.2">
      <c r="B13" s="185" t="s">
        <v>94</v>
      </c>
      <c r="C13" s="185"/>
    </row>
  </sheetData>
  <sheetProtection sheet="1" objects="1" scenarios="1"/>
  <mergeCells count="5">
    <mergeCell ref="B4:C4"/>
    <mergeCell ref="B5:C5"/>
    <mergeCell ref="B8:C8"/>
    <mergeCell ref="B12:C12"/>
    <mergeCell ref="B13:C13"/>
  </mergeCells>
  <hyperlinks>
    <hyperlink ref="B12" r:id="rId1" xr:uid="{00000000-0004-0000-0100-000000000000}"/>
  </hyperlinks>
  <pageMargins left="0.70866141732283472" right="0.59055118110236227" top="0.70866141732283472" bottom="0.86614173228346458" header="0.19685039370078741" footer="0.31496062992125984"/>
  <pageSetup paperSize="9" scale="77" fitToHeight="0"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FBD9-0475-45CE-A0E5-FF083D92136D}">
  <sheetPr codeName="grp03x2">
    <tabColor theme="4" tint="-0.249977111117893"/>
    <outlinePr showOutlineSymbols="0"/>
    <pageSetUpPr fitToPage="1"/>
  </sheetPr>
  <dimension ref="A1:X25"/>
  <sheetViews>
    <sheetView showGridLines="0" showRowColHeaders="0" showOutlineSymbols="0" zoomScaleNormal="100" zoomScaleSheetLayoutView="100" workbookViewId="0">
      <pane ySplit="14" topLeftCell="A15" activePane="bottomLeft" state="frozen"/>
      <selection activeCell="L43" sqref="L43"/>
      <selection pane="bottomLeft" activeCell="P15" sqref="P15"/>
    </sheetView>
  </sheetViews>
  <sheetFormatPr defaultColWidth="9" defaultRowHeight="12.6" outlineLevelRow="1" outlineLevelCol="1" x14ac:dyDescent="0.2"/>
  <cols>
    <col min="1" max="7" width="0" hidden="1" customWidth="1" outlineLevel="1"/>
    <col min="8" max="10" width="6" hidden="1" customWidth="1" outlineLevel="1"/>
    <col min="11" max="11" width="8.90625" hidden="1" customWidth="1" outlineLevel="1"/>
    <col min="12" max="12" width="6.453125" hidden="1" customWidth="1" outlineLevel="1"/>
    <col min="13" max="13" width="4.6328125" hidden="1" customWidth="1" outlineLevel="1"/>
    <col min="14" max="14" width="3.6328125" customWidth="1" collapsed="1"/>
    <col min="15" max="15" width="5.63281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116</v>
      </c>
      <c r="C1" t="s">
        <v>99</v>
      </c>
      <c r="G1" t="s">
        <v>106</v>
      </c>
      <c r="I1" s="155"/>
      <c r="J1" s="155"/>
      <c r="K1" s="155"/>
      <c r="L1" t="s">
        <v>112</v>
      </c>
      <c r="M1" s="155"/>
    </row>
    <row r="2" spans="1:24" ht="13.8" hidden="1" outlineLevel="1" x14ac:dyDescent="0.3">
      <c r="A2" s="3" t="s">
        <v>105</v>
      </c>
      <c r="B2" s="3" t="s">
        <v>100</v>
      </c>
      <c r="C2" s="81" t="s">
        <v>8</v>
      </c>
      <c r="D2" s="81" t="s">
        <v>9</v>
      </c>
      <c r="E2" s="35" t="s">
        <v>97</v>
      </c>
      <c r="F2" s="81" t="s">
        <v>98</v>
      </c>
      <c r="G2" s="81" t="s">
        <v>86</v>
      </c>
      <c r="H2" s="87" t="s">
        <v>86</v>
      </c>
      <c r="I2" s="87" t="s">
        <v>102</v>
      </c>
      <c r="J2" s="87" t="s">
        <v>103</v>
      </c>
      <c r="K2" s="87" t="s">
        <v>104</v>
      </c>
      <c r="L2" s="88" t="s">
        <v>87</v>
      </c>
      <c r="M2" s="86" t="s">
        <v>101</v>
      </c>
    </row>
    <row r="3" spans="1:24" hidden="1" outlineLevel="1" x14ac:dyDescent="0.2">
      <c r="A3" s="89">
        <v>1</v>
      </c>
      <c r="B3" s="89" t="str">
        <f t="shared" ref="B3:B5" si="0">INDEX(xTeams,A3,1)</f>
        <v>Assens</v>
      </c>
      <c r="C3" s="82">
        <f t="shared" ref="C3" ca="1" si="1">SUMIF(team1,teams,goals1)+SUMIF(team2,teams,goals2)</f>
        <v>16</v>
      </c>
      <c r="D3" s="82">
        <f t="shared" ref="D3" ca="1" si="2">SUMIF(team1,teams,goals2)+SUMIF(team2,teams,goals1)</f>
        <v>13</v>
      </c>
      <c r="E3" s="90">
        <f t="shared" ref="E3:E5" ca="1" si="3">SUMIFS(
   points1,team1,teams
) +
  SUMIFS(points2,team2,teams)</f>
        <v>7</v>
      </c>
      <c r="F3" s="82">
        <f t="shared" ref="F3:F5" ca="1" si="4">C3-D3</f>
        <v>3</v>
      </c>
      <c r="G3" s="82">
        <f t="shared" ref="G3:G5" ca="1" si="5">COUNTIFS(team1,$B3,points1,"&gt;=0")+COUNTIFS(team2,$B3,points2,"&gt;=0")</f>
        <v>4</v>
      </c>
      <c r="H3" s="91">
        <f ca="1">IF(G3=0,1,0)</f>
        <v>0</v>
      </c>
      <c r="I3" s="91">
        <f ca="1">RANK($E3,$E$3:$E$5,0)</f>
        <v>1</v>
      </c>
      <c r="J3" s="84">
        <f ca="1">RANK($F3,$F$3:$F$5,0)/10</f>
        <v>0.2</v>
      </c>
      <c r="K3" s="85">
        <f ca="1">RANK($C3,$C$3:$C$5,0)/100</f>
        <v>0.01</v>
      </c>
      <c r="L3" s="85">
        <f ca="1">SUM(H3:K3)</f>
        <v>1.21</v>
      </c>
      <c r="M3" s="82">
        <f ca="1">RANK($L3,$L$3:$L$5,1) + COUNTIF($L$3:$L3,$L3)-1</f>
        <v>2</v>
      </c>
    </row>
    <row r="4" spans="1:24" hidden="1" outlineLevel="1" x14ac:dyDescent="0.2">
      <c r="A4" s="89">
        <v>2</v>
      </c>
      <c r="B4" s="89" t="str">
        <f t="shared" si="0"/>
        <v>Bogense</v>
      </c>
      <c r="C4" s="82">
        <f t="shared" ref="C4:C5" ca="1" si="6">SUMIF(team1,teams,goals1)+SUMIF(team2,teams,goals2)</f>
        <v>7</v>
      </c>
      <c r="D4" s="82">
        <f t="shared" ref="D4:D5" ca="1" si="7">SUMIF(team1,teams,goals2)+SUMIF(team2,teams,goals1)</f>
        <v>14</v>
      </c>
      <c r="E4" s="90">
        <f t="shared" ca="1" si="3"/>
        <v>3</v>
      </c>
      <c r="F4" s="82">
        <f t="shared" ca="1" si="4"/>
        <v>-7</v>
      </c>
      <c r="G4" s="82">
        <f t="shared" ca="1" si="5"/>
        <v>4</v>
      </c>
      <c r="H4" s="91">
        <f t="shared" ref="H4:H5" ca="1" si="8">IF(G4=0,1,0)</f>
        <v>0</v>
      </c>
      <c r="I4" s="91">
        <f ca="1">RANK($E4,$E$3:$E$5,0)</f>
        <v>3</v>
      </c>
      <c r="J4" s="84">
        <f t="shared" ref="J4:J5" ca="1" si="9">RANK($F4,$F$3:$F$5,0)/10</f>
        <v>0.3</v>
      </c>
      <c r="K4" s="85">
        <f ca="1">RANK($C4,$C$3:$C$5,0)/100</f>
        <v>0.03</v>
      </c>
      <c r="L4" s="85">
        <f t="shared" ref="L4:L5" ca="1" si="10">SUM(H4:K4)</f>
        <v>3.3299999999999996</v>
      </c>
      <c r="M4" s="82">
        <f ca="1">RANK($L4,$L$3:$L$5,1) + COUNTIF($L$3:$L4,$L4)-1</f>
        <v>3</v>
      </c>
    </row>
    <row r="5" spans="1:24" hidden="1" outlineLevel="1" x14ac:dyDescent="0.2">
      <c r="A5" s="89">
        <v>3</v>
      </c>
      <c r="B5" s="89" t="str">
        <f t="shared" si="0"/>
        <v>Christiansfelt</v>
      </c>
      <c r="C5" s="82">
        <f t="shared" ca="1" si="6"/>
        <v>16</v>
      </c>
      <c r="D5" s="82">
        <f t="shared" ca="1" si="7"/>
        <v>12</v>
      </c>
      <c r="E5" s="90">
        <f t="shared" ca="1" si="3"/>
        <v>7</v>
      </c>
      <c r="F5" s="82">
        <f t="shared" ca="1" si="4"/>
        <v>4</v>
      </c>
      <c r="G5" s="82">
        <f t="shared" ca="1" si="5"/>
        <v>4</v>
      </c>
      <c r="H5" s="91">
        <f t="shared" ca="1" si="8"/>
        <v>0</v>
      </c>
      <c r="I5" s="91">
        <f ca="1">RANK($E5,$E$3:$E$5,0)</f>
        <v>1</v>
      </c>
      <c r="J5" s="84">
        <f t="shared" ca="1" si="9"/>
        <v>0.1</v>
      </c>
      <c r="K5" s="85">
        <f ca="1">RANK($C5,$C$3:$C$5,0)/100</f>
        <v>0.01</v>
      </c>
      <c r="L5" s="85">
        <f t="shared" ca="1" si="10"/>
        <v>1.1100000000000001</v>
      </c>
      <c r="M5" s="82">
        <f ca="1">RANK($L5,$L$3:$L$5,1) + COUNTIF($L$3:$L5,$L5)-1</f>
        <v>1</v>
      </c>
    </row>
    <row r="6" spans="1:24" ht="13.2" collapsed="1" thickBot="1" x14ac:dyDescent="0.25">
      <c r="O6"/>
      <c r="P6"/>
      <c r="Q6"/>
      <c r="R6"/>
    </row>
    <row r="7" spans="1:24" s="4" customFormat="1" ht="24" thickBot="1" x14ac:dyDescent="0.5">
      <c r="A7" s="38" t="s">
        <v>88</v>
      </c>
      <c r="B7" s="83">
        <v>4</v>
      </c>
      <c r="C7" s="66"/>
      <c r="D7" s="67" t="s">
        <v>64</v>
      </c>
      <c r="E7" s="83">
        <f>(B7/2)*(B7-1)</f>
        <v>6</v>
      </c>
      <c r="O7" s="69" t="str">
        <f>TurneringsNavn</f>
        <v>Forårsstævne</v>
      </c>
      <c r="P7" s="5"/>
      <c r="Q7" s="5"/>
      <c r="R7" s="5"/>
      <c r="S7" s="5"/>
      <c r="T7" s="5"/>
      <c r="U7" s="5"/>
      <c r="V7" s="5"/>
      <c r="W7" s="5"/>
      <c r="X7" s="5"/>
    </row>
    <row r="8" spans="1:24" ht="6.75" customHeight="1" x14ac:dyDescent="0.2">
      <c r="O8"/>
      <c r="P8"/>
      <c r="Q8"/>
      <c r="R8"/>
    </row>
    <row r="9" spans="1:24" ht="13.8" x14ac:dyDescent="0.25">
      <c r="B9" s="6" t="s">
        <v>65</v>
      </c>
      <c r="C9" s="6" t="s">
        <v>66</v>
      </c>
      <c r="D9" s="6" t="s">
        <v>67</v>
      </c>
      <c r="E9" s="7" t="s">
        <v>1</v>
      </c>
      <c r="F9" s="6" t="s">
        <v>2</v>
      </c>
      <c r="G9" s="6" t="s">
        <v>3</v>
      </c>
      <c r="H9" s="6" t="s">
        <v>87</v>
      </c>
      <c r="K9" s="6"/>
      <c r="L9" s="6"/>
      <c r="M9" s="6"/>
      <c r="N9" s="6"/>
      <c r="O9" s="114" t="s">
        <v>114</v>
      </c>
      <c r="P9" s="115" t="s">
        <v>96</v>
      </c>
      <c r="Q9" s="115"/>
      <c r="R9" s="116" t="s">
        <v>4</v>
      </c>
      <c r="S9" s="114" t="s">
        <v>5</v>
      </c>
      <c r="T9" s="114" t="s">
        <v>6</v>
      </c>
      <c r="U9" s="114" t="s">
        <v>7</v>
      </c>
      <c r="V9" s="114" t="s">
        <v>8</v>
      </c>
      <c r="W9" s="114" t="s">
        <v>9</v>
      </c>
      <c r="X9" s="117" t="s">
        <v>97</v>
      </c>
    </row>
    <row r="10" spans="1:24" ht="17.399999999999999" x14ac:dyDescent="0.35">
      <c r="A10" s="6" t="s">
        <v>65</v>
      </c>
      <c r="B10" s="8"/>
      <c r="C10" s="9">
        <v>3</v>
      </c>
      <c r="D10" s="9">
        <v>5</v>
      </c>
      <c r="E10" s="10" t="str">
        <f ca="1">IFERROR(CHOOSE((P10=H$24)*1+(P10=I$24)*2+(P10=H$22)*3,"Guld","Sølv","Bronze"),"")</f>
        <v/>
      </c>
      <c r="F10" s="11">
        <f t="shared" ref="F10:G12" ca="1" si="11">COUNTIF(P$15:P$20,$B3)</f>
        <v>2</v>
      </c>
      <c r="G10" s="11">
        <f t="shared" ca="1" si="11"/>
        <v>2</v>
      </c>
      <c r="H10" s="11">
        <f ca="1">F10+G10</f>
        <v>4</v>
      </c>
      <c r="K10" s="11"/>
      <c r="L10" s="11"/>
      <c r="M10" s="11"/>
      <c r="N10" s="11"/>
      <c r="O10" s="105">
        <v>1</v>
      </c>
      <c r="P10" s="106" t="str">
        <f ca="1" xml:space="preserve">  INDEX(teams,MATCH(rankNum,actRank,0))</f>
        <v>Christiansfelt</v>
      </c>
      <c r="Q10" s="106"/>
      <c r="R10" s="113">
        <f t="shared" ref="R10:R12" ca="1" si="12">COUNTIFS(team1,teamName,points1,"&gt;=0")+COUNTIFS(team2,teamName,points2,"&gt;=0")</f>
        <v>4</v>
      </c>
      <c r="S10" s="123">
        <f t="shared" ref="S10:S12" ca="1" si="13">COUNTIFS(team1,teamName,points1,ptv)+COUNTIFS(team2,teamName,points2,ptv)</f>
        <v>2</v>
      </c>
      <c r="T10" s="107">
        <f t="shared" ref="T10:T12" ca="1" si="14">COUNTIFS(team1,teamName,points1,ptu)+COUNTIFS(team2,teamName,points2,ptu)</f>
        <v>1</v>
      </c>
      <c r="U10" s="107">
        <f t="shared" ref="U10:U12" ca="1" si="15">COUNTIFS(team1,teamName,points1,ptt)+COUNTIFS(team2,teamName,points2,ptt)</f>
        <v>1</v>
      </c>
      <c r="V10" s="123">
        <f t="shared" ref="V10:V12" ca="1" si="16">SUMIF(team1,teamName,goals1)+SUMIF(team2,teamName,goals2)</f>
        <v>16</v>
      </c>
      <c r="W10" s="107">
        <f t="shared" ref="W10:W12" ca="1" si="17">SUMIF(team1,teamName,goals2)+SUMIF(team2,teamName,goals1)</f>
        <v>12</v>
      </c>
      <c r="X10" s="124">
        <f t="shared" ref="X10:X12" ca="1" si="18">SUMIFS(points1,team1,teamName)+SUMIFS(points2,team2,teamName)</f>
        <v>7</v>
      </c>
    </row>
    <row r="11" spans="1:24" ht="17.399999999999999" x14ac:dyDescent="0.35">
      <c r="A11" s="6" t="s">
        <v>66</v>
      </c>
      <c r="B11" s="9">
        <v>6</v>
      </c>
      <c r="C11" s="8"/>
      <c r="D11" s="9">
        <v>1</v>
      </c>
      <c r="E11" s="10" t="str">
        <f ca="1">IFERROR(CHOOSE((P11=H$24)*1+(P11=I$24)*2+(P11=H$22)*3,"Guld","Sølv","Bronze"),"")</f>
        <v/>
      </c>
      <c r="F11" s="11">
        <f t="shared" ca="1" si="11"/>
        <v>2</v>
      </c>
      <c r="G11" s="11">
        <f t="shared" ca="1" si="11"/>
        <v>2</v>
      </c>
      <c r="H11" s="11">
        <f t="shared" ref="H11:H12" ca="1" si="19">F11+G11</f>
        <v>4</v>
      </c>
      <c r="K11" s="11"/>
      <c r="L11" s="11"/>
      <c r="M11" s="11"/>
      <c r="N11" s="11"/>
      <c r="O11" s="105">
        <v>2</v>
      </c>
      <c r="P11" s="106" t="str">
        <f t="shared" ref="P11:P12" ca="1" si="20" xml:space="preserve">  INDEX(teams,MATCH(rankNum,actRank,0))</f>
        <v>Assens</v>
      </c>
      <c r="Q11" s="106"/>
      <c r="R11" s="113">
        <f t="shared" ca="1" si="12"/>
        <v>4</v>
      </c>
      <c r="S11" s="123">
        <f t="shared" ca="1" si="13"/>
        <v>2</v>
      </c>
      <c r="T11" s="107">
        <f t="shared" ca="1" si="14"/>
        <v>1</v>
      </c>
      <c r="U11" s="107">
        <f t="shared" ca="1" si="15"/>
        <v>1</v>
      </c>
      <c r="V11" s="123">
        <f t="shared" ca="1" si="16"/>
        <v>16</v>
      </c>
      <c r="W11" s="107">
        <f t="shared" ca="1" si="17"/>
        <v>13</v>
      </c>
      <c r="X11" s="124">
        <f t="shared" ca="1" si="18"/>
        <v>7</v>
      </c>
    </row>
    <row r="12" spans="1:24" ht="17.399999999999999" x14ac:dyDescent="0.35">
      <c r="A12" s="6" t="s">
        <v>67</v>
      </c>
      <c r="B12" s="9">
        <v>2</v>
      </c>
      <c r="C12" s="9">
        <v>4</v>
      </c>
      <c r="D12" s="8"/>
      <c r="E12" s="10" t="str">
        <f ca="1">IFERROR(CHOOSE((P12=H$24)*1+(P12=I$24)*2+(P12=H$22)*3,"Guld","Sølv","Bronze"),"")</f>
        <v/>
      </c>
      <c r="F12" s="11">
        <f t="shared" ca="1" si="11"/>
        <v>2</v>
      </c>
      <c r="G12" s="11">
        <f t="shared" ca="1" si="11"/>
        <v>2</v>
      </c>
      <c r="H12" s="11">
        <f t="shared" ca="1" si="19"/>
        <v>4</v>
      </c>
      <c r="K12" s="11"/>
      <c r="L12" s="11"/>
      <c r="M12" s="11"/>
      <c r="N12" s="11"/>
      <c r="O12" s="105">
        <v>3</v>
      </c>
      <c r="P12" s="106" t="str">
        <f t="shared" ca="1" si="20"/>
        <v>Bogense</v>
      </c>
      <c r="Q12" s="106"/>
      <c r="R12" s="113">
        <f t="shared" ca="1" si="12"/>
        <v>4</v>
      </c>
      <c r="S12" s="123">
        <f t="shared" ca="1" si="13"/>
        <v>1</v>
      </c>
      <c r="T12" s="107">
        <f t="shared" ca="1" si="14"/>
        <v>0</v>
      </c>
      <c r="U12" s="107">
        <f t="shared" ca="1" si="15"/>
        <v>3</v>
      </c>
      <c r="V12" s="123">
        <f t="shared" ca="1" si="16"/>
        <v>7</v>
      </c>
      <c r="W12" s="107">
        <f t="shared" ca="1" si="17"/>
        <v>14</v>
      </c>
      <c r="X12" s="124">
        <f t="shared" ca="1" si="18"/>
        <v>3</v>
      </c>
    </row>
    <row r="13" spans="1:24" x14ac:dyDescent="0.2">
      <c r="O13"/>
      <c r="P13"/>
      <c r="Q13"/>
      <c r="R13"/>
    </row>
    <row r="14" spans="1:24" s="12" customFormat="1" ht="15" thickBot="1" x14ac:dyDescent="0.35">
      <c r="C14" s="39" t="s">
        <v>16</v>
      </c>
      <c r="D14" s="40" t="s">
        <v>17</v>
      </c>
      <c r="E14" s="55" t="s">
        <v>18</v>
      </c>
      <c r="F14" s="41" t="s">
        <v>19</v>
      </c>
      <c r="G14" s="41" t="s">
        <v>20</v>
      </c>
      <c r="H14" s="41" t="s">
        <v>21</v>
      </c>
      <c r="I14" s="41" t="s">
        <v>22</v>
      </c>
      <c r="J14" s="42" t="s">
        <v>23</v>
      </c>
      <c r="K14" s="43" t="s">
        <v>24</v>
      </c>
      <c r="L14" s="43"/>
      <c r="O14" s="122" t="s">
        <v>4</v>
      </c>
      <c r="P14" s="121" t="s">
        <v>25</v>
      </c>
      <c r="Q14" s="121" t="s">
        <v>26</v>
      </c>
      <c r="R14" s="151" t="s">
        <v>27</v>
      </c>
      <c r="S14" s="151" t="s">
        <v>28</v>
      </c>
      <c r="T14" s="151" t="s">
        <v>29</v>
      </c>
      <c r="U14" s="152" t="s">
        <v>30</v>
      </c>
      <c r="V14" s="152" t="s">
        <v>30</v>
      </c>
      <c r="W14" s="120" t="s">
        <v>31</v>
      </c>
      <c r="X14" s="120" t="s">
        <v>31</v>
      </c>
    </row>
    <row r="15" spans="1:24" ht="17.399999999999999" x14ac:dyDescent="0.35">
      <c r="A15" s="13"/>
      <c r="B15" s="14"/>
      <c r="C15" s="44" t="s">
        <v>73</v>
      </c>
      <c r="D15" s="45"/>
      <c r="E15" s="44">
        <v>1</v>
      </c>
      <c r="F15" s="46">
        <f t="shared" ref="F15:F20" si="21">SUMPRODUCT((HxA=$E15)*(COLUMN(HxA)))-COLUMN(HxA)+1</f>
        <v>4</v>
      </c>
      <c r="G15" s="46">
        <f t="shared" ref="G15:G20" si="22">SUMPRODUCT((HxA=$E15)*(ROW(HxA)))-ROW(HxA)+1</f>
        <v>3</v>
      </c>
      <c r="H15" s="47" t="str">
        <f t="shared" ref="H15:H20" si="23">INDEX(HxA,G15,1)</f>
        <v>T_02</v>
      </c>
      <c r="I15" s="47" t="str">
        <f t="shared" ref="I15:I20" si="24">INDEX(HxA,1,F15)</f>
        <v>T_03</v>
      </c>
      <c r="J15" s="48"/>
      <c r="K15" s="49">
        <v>43832</v>
      </c>
      <c r="L15" s="65"/>
      <c r="O15" s="108">
        <v>1</v>
      </c>
      <c r="P15" s="108" t="str">
        <f t="shared" ref="P15:Q20" ca="1" si="25">INDIRECT(H15)</f>
        <v>Bogense</v>
      </c>
      <c r="Q15" s="108" t="str">
        <f t="shared" ca="1" si="25"/>
        <v>Christiansfelt</v>
      </c>
      <c r="R15" s="133">
        <v>43832</v>
      </c>
      <c r="S15" s="134" t="s">
        <v>32</v>
      </c>
      <c r="T15" s="135">
        <v>1</v>
      </c>
      <c r="U15" s="136">
        <v>0</v>
      </c>
      <c r="V15" s="137">
        <v>4</v>
      </c>
      <c r="W15" s="107">
        <f t="shared" ref="W15:W20" si="26">IF(ISNUMBER(U15)*ISNUMBER(V15),IF(U15&gt;V15,ptv, IF(U15=V15,ptu,ptt)),"-")</f>
        <v>0</v>
      </c>
      <c r="X15" s="107">
        <f t="shared" ref="X15:X20" si="27">IF(ISNUMBER(U15)*ISNUMBER(V15),IF(W15=ptv,ptt,IF(W15=ptu,ptu,ptv)),"-")</f>
        <v>3</v>
      </c>
    </row>
    <row r="16" spans="1:24" ht="18" thickBot="1" x14ac:dyDescent="0.4">
      <c r="A16" s="13"/>
      <c r="B16" s="14"/>
      <c r="C16" s="61" t="s">
        <v>77</v>
      </c>
      <c r="D16" s="60">
        <f>OR(H16=H15,H16=I15,I16=H15,I16=I15)*1</f>
        <v>1</v>
      </c>
      <c r="E16" s="61">
        <v>2</v>
      </c>
      <c r="F16" s="62">
        <f t="shared" si="21"/>
        <v>2</v>
      </c>
      <c r="G16" s="62">
        <f t="shared" si="22"/>
        <v>4</v>
      </c>
      <c r="H16" s="63" t="str">
        <f t="shared" si="23"/>
        <v>T_03</v>
      </c>
      <c r="I16" s="63" t="str">
        <f t="shared" si="24"/>
        <v>T_01</v>
      </c>
      <c r="J16" s="63">
        <v>0</v>
      </c>
      <c r="K16" s="64">
        <f>$K$15+J16</f>
        <v>43832</v>
      </c>
      <c r="L16" s="65"/>
      <c r="O16" s="108">
        <v>2</v>
      </c>
      <c r="P16" s="108" t="str">
        <f t="shared" ca="1" si="25"/>
        <v>Christiansfelt</v>
      </c>
      <c r="Q16" s="108" t="str">
        <f t="shared" ca="1" si="25"/>
        <v>Assens</v>
      </c>
      <c r="R16" s="118">
        <v>43832</v>
      </c>
      <c r="S16" s="109" t="s">
        <v>32</v>
      </c>
      <c r="T16" s="126">
        <v>2</v>
      </c>
      <c r="U16" s="127">
        <v>5</v>
      </c>
      <c r="V16" s="128">
        <v>5</v>
      </c>
      <c r="W16" s="107">
        <f t="shared" si="26"/>
        <v>1</v>
      </c>
      <c r="X16" s="107">
        <f t="shared" si="27"/>
        <v>1</v>
      </c>
    </row>
    <row r="17" spans="1:24" ht="17.399999999999999" x14ac:dyDescent="0.35">
      <c r="A17" s="13"/>
      <c r="B17" s="14"/>
      <c r="C17" s="57" t="s">
        <v>79</v>
      </c>
      <c r="D17" s="56">
        <f t="shared" ref="D17:D20" si="28">OR(H17=H16,H17=I16,I17=H16,I17=I16)*1</f>
        <v>1</v>
      </c>
      <c r="E17" s="57">
        <v>3</v>
      </c>
      <c r="F17" s="45">
        <f t="shared" si="21"/>
        <v>3</v>
      </c>
      <c r="G17" s="45">
        <f t="shared" si="22"/>
        <v>2</v>
      </c>
      <c r="H17" s="58" t="str">
        <f t="shared" si="23"/>
        <v>T_01</v>
      </c>
      <c r="I17" s="58" t="str">
        <f t="shared" si="24"/>
        <v>T_02</v>
      </c>
      <c r="J17" s="58">
        <v>0</v>
      </c>
      <c r="K17" s="59">
        <f t="shared" ref="K17:K24" si="29">$K$15+J17</f>
        <v>43832</v>
      </c>
      <c r="L17" s="65"/>
      <c r="O17" s="108">
        <v>3</v>
      </c>
      <c r="P17" s="108" t="str">
        <f t="shared" ca="1" si="25"/>
        <v>Assens</v>
      </c>
      <c r="Q17" s="108" t="str">
        <f t="shared" ca="1" si="25"/>
        <v>Bogense</v>
      </c>
      <c r="R17" s="118">
        <v>43832</v>
      </c>
      <c r="S17" s="109" t="s">
        <v>32</v>
      </c>
      <c r="T17" s="126">
        <v>1</v>
      </c>
      <c r="U17" s="127">
        <v>3</v>
      </c>
      <c r="V17" s="128">
        <v>5</v>
      </c>
      <c r="W17" s="107">
        <f t="shared" si="26"/>
        <v>0</v>
      </c>
      <c r="X17" s="107">
        <f t="shared" si="27"/>
        <v>3</v>
      </c>
    </row>
    <row r="18" spans="1:24" ht="18" thickBot="1" x14ac:dyDescent="0.4">
      <c r="A18" s="13"/>
      <c r="B18" s="14"/>
      <c r="C18" s="61" t="s">
        <v>81</v>
      </c>
      <c r="D18" s="60">
        <f t="shared" si="28"/>
        <v>1</v>
      </c>
      <c r="E18" s="61">
        <v>4</v>
      </c>
      <c r="F18" s="62">
        <f t="shared" si="21"/>
        <v>3</v>
      </c>
      <c r="G18" s="62">
        <f t="shared" si="22"/>
        <v>4</v>
      </c>
      <c r="H18" s="63" t="str">
        <f t="shared" si="23"/>
        <v>T_03</v>
      </c>
      <c r="I18" s="63" t="str">
        <f t="shared" si="24"/>
        <v>T_02</v>
      </c>
      <c r="J18" s="63">
        <v>1</v>
      </c>
      <c r="K18" s="64">
        <f t="shared" si="29"/>
        <v>43833</v>
      </c>
      <c r="L18" s="65"/>
      <c r="O18" s="108">
        <v>4</v>
      </c>
      <c r="P18" s="108" t="str">
        <f t="shared" ca="1" si="25"/>
        <v>Christiansfelt</v>
      </c>
      <c r="Q18" s="108" t="str">
        <f t="shared" ca="1" si="25"/>
        <v>Bogense</v>
      </c>
      <c r="R18" s="118">
        <v>43833</v>
      </c>
      <c r="S18" s="109" t="s">
        <v>32</v>
      </c>
      <c r="T18" s="126">
        <v>2</v>
      </c>
      <c r="U18" s="127">
        <v>4</v>
      </c>
      <c r="V18" s="128">
        <v>2</v>
      </c>
      <c r="W18" s="107">
        <f t="shared" si="26"/>
        <v>3</v>
      </c>
      <c r="X18" s="107">
        <f t="shared" si="27"/>
        <v>0</v>
      </c>
    </row>
    <row r="19" spans="1:24" ht="17.399999999999999" x14ac:dyDescent="0.35">
      <c r="A19" s="13"/>
      <c r="B19" s="14"/>
      <c r="C19" s="57" t="s">
        <v>83</v>
      </c>
      <c r="D19" s="56">
        <f t="shared" si="28"/>
        <v>1</v>
      </c>
      <c r="E19" s="57">
        <v>5</v>
      </c>
      <c r="F19" s="45">
        <f t="shared" si="21"/>
        <v>4</v>
      </c>
      <c r="G19" s="45">
        <f t="shared" si="22"/>
        <v>2</v>
      </c>
      <c r="H19" s="58" t="str">
        <f t="shared" si="23"/>
        <v>T_01</v>
      </c>
      <c r="I19" s="58" t="str">
        <f t="shared" si="24"/>
        <v>T_03</v>
      </c>
      <c r="J19" s="58">
        <v>1</v>
      </c>
      <c r="K19" s="59">
        <f t="shared" si="29"/>
        <v>43833</v>
      </c>
      <c r="L19" s="65"/>
      <c r="O19" s="108">
        <v>5</v>
      </c>
      <c r="P19" s="108" t="str">
        <f t="shared" ca="1" si="25"/>
        <v>Assens</v>
      </c>
      <c r="Q19" s="108" t="str">
        <f t="shared" ca="1" si="25"/>
        <v>Christiansfelt</v>
      </c>
      <c r="R19" s="118">
        <v>43833</v>
      </c>
      <c r="S19" s="109" t="s">
        <v>32</v>
      </c>
      <c r="T19" s="126">
        <v>1</v>
      </c>
      <c r="U19" s="127">
        <v>5</v>
      </c>
      <c r="V19" s="128">
        <v>3</v>
      </c>
      <c r="W19" s="107">
        <f t="shared" si="26"/>
        <v>3</v>
      </c>
      <c r="X19" s="107">
        <f t="shared" si="27"/>
        <v>0</v>
      </c>
    </row>
    <row r="20" spans="1:24" ht="18" thickBot="1" x14ac:dyDescent="0.4">
      <c r="A20" s="13"/>
      <c r="B20" s="14"/>
      <c r="C20" s="61" t="s">
        <v>85</v>
      </c>
      <c r="D20" s="60">
        <f t="shared" si="28"/>
        <v>1</v>
      </c>
      <c r="E20" s="61">
        <v>6</v>
      </c>
      <c r="F20" s="62">
        <f t="shared" si="21"/>
        <v>2</v>
      </c>
      <c r="G20" s="62">
        <f t="shared" si="22"/>
        <v>3</v>
      </c>
      <c r="H20" s="63" t="str">
        <f t="shared" si="23"/>
        <v>T_02</v>
      </c>
      <c r="I20" s="63" t="str">
        <f t="shared" si="24"/>
        <v>T_01</v>
      </c>
      <c r="J20" s="63">
        <v>1</v>
      </c>
      <c r="K20" s="64">
        <f t="shared" si="29"/>
        <v>43833</v>
      </c>
      <c r="L20" s="65"/>
      <c r="O20" s="110">
        <v>6</v>
      </c>
      <c r="P20" s="110" t="str">
        <f t="shared" ca="1" si="25"/>
        <v>Bogense</v>
      </c>
      <c r="Q20" s="110" t="str">
        <f t="shared" ca="1" si="25"/>
        <v>Assens</v>
      </c>
      <c r="R20" s="119">
        <v>43833</v>
      </c>
      <c r="S20" s="111" t="s">
        <v>32</v>
      </c>
      <c r="T20" s="129">
        <v>2</v>
      </c>
      <c r="U20" s="130">
        <v>0</v>
      </c>
      <c r="V20" s="131">
        <v>3</v>
      </c>
      <c r="W20" s="112">
        <f t="shared" si="26"/>
        <v>0</v>
      </c>
      <c r="X20" s="112">
        <f t="shared" si="27"/>
        <v>3</v>
      </c>
    </row>
    <row r="21" spans="1:24" ht="18" thickBot="1" x14ac:dyDescent="0.4">
      <c r="H21" s="19" t="s">
        <v>33</v>
      </c>
      <c r="I21" s="19" t="s">
        <v>34</v>
      </c>
      <c r="J21" s="15"/>
      <c r="K21" s="17"/>
      <c r="L21" s="65"/>
      <c r="P21" s="79"/>
      <c r="Q21" s="79"/>
      <c r="R21" s="79"/>
      <c r="S21" s="5"/>
      <c r="T21" s="5"/>
      <c r="U21" s="16"/>
      <c r="V21" s="156"/>
    </row>
    <row r="22" spans="1:24" ht="18" thickBot="1" x14ac:dyDescent="0.4">
      <c r="H22" s="20" t="str">
        <f>IF(ISNUMBER(U22),IF(U22&gt;V22,P22,Q22),"")</f>
        <v/>
      </c>
      <c r="I22" s="20" t="str">
        <f>IF(ISNUMBER(U22),IF(H22=P22,Q22,P22),"")</f>
        <v/>
      </c>
      <c r="J22" s="15">
        <v>10</v>
      </c>
      <c r="K22" s="17">
        <f t="shared" si="29"/>
        <v>43842</v>
      </c>
      <c r="L22" s="65"/>
      <c r="O22" s="76" t="s">
        <v>63</v>
      </c>
      <c r="P22" s="77"/>
      <c r="Q22" s="77"/>
      <c r="R22" s="146">
        <v>41660</v>
      </c>
      <c r="S22" s="147">
        <v>0.54166666666666663</v>
      </c>
      <c r="T22" s="148">
        <v>2</v>
      </c>
      <c r="U22" s="149"/>
      <c r="V22" s="150"/>
      <c r="W22" s="21" t="str">
        <f t="shared" ref="W22" si="30">IF(ISNUMBER(U22)*ISNUMBER(V22),IF(U22&gt;V22,ptv, IF(U22=V22,ptu,ptt)),"-")</f>
        <v>-</v>
      </c>
      <c r="X22" s="21" t="str">
        <f t="shared" ref="X22" si="31">IF(ISNUMBER(U22)*ISNUMBER(V22),IF(W22=ptv,ptt,IF(W22=ptu,ptu,ptv)),"-")</f>
        <v>-</v>
      </c>
    </row>
    <row r="23" spans="1:24" ht="15" thickBot="1" x14ac:dyDescent="0.25">
      <c r="H23" s="19" t="s">
        <v>35</v>
      </c>
      <c r="I23" s="19" t="s">
        <v>36</v>
      </c>
      <c r="J23" s="15"/>
      <c r="K23" s="17"/>
      <c r="L23" s="65"/>
      <c r="P23" s="79"/>
      <c r="Q23" s="79"/>
      <c r="R23" s="79"/>
      <c r="S23" s="5"/>
      <c r="T23" s="5"/>
      <c r="U23" s="5"/>
      <c r="V23" s="80"/>
    </row>
    <row r="24" spans="1:24" ht="18" thickBot="1" x14ac:dyDescent="0.4">
      <c r="H24" s="20" t="str">
        <f>IF(ISNUMBER(U24),IF(U24&gt;V24,P24,Q24),"")</f>
        <v/>
      </c>
      <c r="I24" s="20" t="str">
        <f>IF(ISNUMBER(U24),IF(H24=P24,Q24,P24),"")</f>
        <v/>
      </c>
      <c r="J24" s="15">
        <v>11</v>
      </c>
      <c r="K24" s="17">
        <f t="shared" si="29"/>
        <v>43843</v>
      </c>
      <c r="L24" s="65"/>
      <c r="O24" s="75" t="s">
        <v>95</v>
      </c>
      <c r="P24" s="77"/>
      <c r="Q24" s="77"/>
      <c r="R24" s="146">
        <v>41661</v>
      </c>
      <c r="S24" s="147">
        <v>0.54166666666666663</v>
      </c>
      <c r="T24" s="148">
        <v>2</v>
      </c>
      <c r="U24" s="149"/>
      <c r="V24" s="150"/>
      <c r="W24" s="21" t="str">
        <f t="shared" ref="W24" si="32">IF(ISNUMBER(U24)*ISNUMBER(V24),IF(U24&gt;V24,ptv, IF(U24=V24,ptu,ptt)),"-")</f>
        <v>-</v>
      </c>
      <c r="X24" s="21" t="str">
        <f t="shared" ref="X24" si="33">IF(ISNUMBER(U24)*ISNUMBER(V24),IF(W24=ptv,ptt,IF(W24=ptu,ptu,ptv)),"-")</f>
        <v>-</v>
      </c>
    </row>
    <row r="25" spans="1:24" ht="14.4" x14ac:dyDescent="0.2">
      <c r="L25" s="65"/>
    </row>
  </sheetData>
  <sheetProtection sheet="1" objects="1" scenarios="1"/>
  <conditionalFormatting sqref="D17">
    <cfRule type="expression" dxfId="32" priority="4">
      <formula>D17=1</formula>
    </cfRule>
  </conditionalFormatting>
  <conditionalFormatting sqref="D16:D17">
    <cfRule type="expression" dxfId="31" priority="6">
      <formula>D16=1</formula>
    </cfRule>
  </conditionalFormatting>
  <conditionalFormatting sqref="D18">
    <cfRule type="expression" dxfId="30" priority="5">
      <formula>D18=1</formula>
    </cfRule>
  </conditionalFormatting>
  <conditionalFormatting sqref="D19">
    <cfRule type="expression" dxfId="29" priority="3">
      <formula>D19=1</formula>
    </cfRule>
  </conditionalFormatting>
  <conditionalFormatting sqref="D20">
    <cfRule type="expression" dxfId="28" priority="2">
      <formula>D20=1</formula>
    </cfRule>
  </conditionalFormatting>
  <conditionalFormatting sqref="D19">
    <cfRule type="expression" dxfId="27" priority="1">
      <formula>D19=1</formula>
    </cfRule>
  </conditionalFormatting>
  <conditionalFormatting sqref="B10:D12">
    <cfRule type="duplicateValues" dxfId="26" priority="65"/>
    <cfRule type="expression" dxfId="25" priority="66">
      <formula>AND(B10&lt;=$E$7,ISNUMBER(B10))</formula>
    </cfRule>
  </conditionalFormatting>
  <conditionalFormatting sqref="L3:L5">
    <cfRule type="duplicateValues" dxfId="24" priority="75"/>
  </conditionalFormatting>
  <conditionalFormatting sqref="M3:M5">
    <cfRule type="duplicateValues" dxfId="23" priority="76"/>
  </conditionalFormatting>
  <dataValidations count="1">
    <dataValidation type="list" allowBlank="1" showInputMessage="1" showErrorMessage="1" sqref="P22:Q22 P24:Q24" xr:uid="{59AC6342-AA9C-41E0-A878-82AD8FD69C5B}">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049B-7024-4F89-A077-CC2FDF0594B7}">
  <sheetPr codeName="grp04x1">
    <tabColor theme="6" tint="-0.249977111117893"/>
    <outlinePr showOutlineSymbols="0"/>
    <pageSetUpPr fitToPage="1"/>
  </sheetPr>
  <dimension ref="A1:X27"/>
  <sheetViews>
    <sheetView showGridLines="0" showRowColHeaders="0" showOutlineSymbols="0" zoomScaleNormal="100" zoomScaleSheetLayoutView="100" workbookViewId="0">
      <pane ySplit="16" topLeftCell="A17" activePane="bottomLeft" state="frozen"/>
      <selection activeCell="L43" sqref="L43"/>
      <selection pane="bottomLeft" activeCell="P17" sqref="P17"/>
    </sheetView>
  </sheetViews>
  <sheetFormatPr defaultColWidth="9" defaultRowHeight="12.6" outlineLevelRow="1" outlineLevelCol="1" x14ac:dyDescent="0.2"/>
  <cols>
    <col min="1" max="7" width="9"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6.2695312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116</v>
      </c>
      <c r="C1" t="s">
        <v>99</v>
      </c>
      <c r="G1" t="s">
        <v>106</v>
      </c>
      <c r="L1" t="s">
        <v>112</v>
      </c>
      <c r="O1"/>
      <c r="P1"/>
      <c r="Q1"/>
      <c r="R1"/>
    </row>
    <row r="2" spans="1:24" ht="13.8" hidden="1" outlineLevel="1" x14ac:dyDescent="0.3">
      <c r="A2" s="3" t="s">
        <v>105</v>
      </c>
      <c r="B2" s="3" t="s">
        <v>100</v>
      </c>
      <c r="C2" s="81" t="s">
        <v>8</v>
      </c>
      <c r="D2" s="81" t="s">
        <v>9</v>
      </c>
      <c r="E2" s="35" t="s">
        <v>97</v>
      </c>
      <c r="F2" s="81" t="s">
        <v>98</v>
      </c>
      <c r="G2" s="81" t="s">
        <v>86</v>
      </c>
      <c r="H2" s="87" t="s">
        <v>86</v>
      </c>
      <c r="I2" s="87" t="s">
        <v>102</v>
      </c>
      <c r="J2" s="87" t="s">
        <v>103</v>
      </c>
      <c r="K2" s="87" t="s">
        <v>104</v>
      </c>
      <c r="L2" s="88" t="s">
        <v>87</v>
      </c>
      <c r="M2" s="86" t="s">
        <v>101</v>
      </c>
      <c r="O2"/>
      <c r="P2"/>
      <c r="Q2"/>
      <c r="R2"/>
    </row>
    <row r="3" spans="1:24" hidden="1" outlineLevel="1" x14ac:dyDescent="0.2">
      <c r="A3" s="89">
        <v>1</v>
      </c>
      <c r="B3" s="89" t="str">
        <f t="shared" ref="B3:B6" si="0">INDEX(xTeams,A3,1)</f>
        <v>Assens</v>
      </c>
      <c r="C3" s="82">
        <f t="shared" ref="C3" ca="1" si="1">SUMIF(team1,teams,goals1)+SUMIF(team2,teams,goals2)</f>
        <v>5</v>
      </c>
      <c r="D3" s="82">
        <f t="shared" ref="D3" ca="1" si="2">SUMIF(team1,teams,goals2)+SUMIF(team2,teams,goals1)</f>
        <v>12</v>
      </c>
      <c r="E3" s="90">
        <f t="shared" ref="E3:E6" ca="1" si="3">SUMIFS(
   points1,team1,teams
) +
  SUMIFS(points2,team2,teams)</f>
        <v>3</v>
      </c>
      <c r="F3" s="82">
        <f t="shared" ref="F3:F6" ca="1" si="4">C3-D3</f>
        <v>-7</v>
      </c>
      <c r="G3" s="82">
        <f t="shared" ref="G3:G6" ca="1" si="5">COUNTIFS(team1,$B3,points1,"&gt;=0")+COUNTIFS(team2,$B3,points2,"&gt;=0")</f>
        <v>3</v>
      </c>
      <c r="H3" s="91">
        <f ca="1">IF(G3=0,1,0)</f>
        <v>0</v>
      </c>
      <c r="I3" s="91">
        <f ca="1">RANK($E3,$E$3:$E$6,0)</f>
        <v>3</v>
      </c>
      <c r="J3" s="84">
        <f ca="1">RANK($F3,$F$3:$F$6,0)/10</f>
        <v>0.4</v>
      </c>
      <c r="K3" s="85">
        <f ca="1">RANK($C3,$C$3:$C$6,0)/100</f>
        <v>0.04</v>
      </c>
      <c r="L3" s="85">
        <f ca="1">SUM(H3:K3)</f>
        <v>3.44</v>
      </c>
      <c r="M3" s="82">
        <f ca="1">RANK($L3,$L$3:$L$6,1) + COUNTIF($L$3:$L3,$L3)-1</f>
        <v>3</v>
      </c>
      <c r="O3"/>
      <c r="P3"/>
      <c r="Q3"/>
      <c r="R3"/>
    </row>
    <row r="4" spans="1:24" hidden="1" outlineLevel="1" x14ac:dyDescent="0.2">
      <c r="A4" s="89">
        <v>2</v>
      </c>
      <c r="B4" s="89" t="str">
        <f t="shared" si="0"/>
        <v>Bogense</v>
      </c>
      <c r="C4" s="82">
        <f t="shared" ref="C4:C6" ca="1" si="6">SUMIF(team1,teams,goals1)+SUMIF(team2,teams,goals2)</f>
        <v>13</v>
      </c>
      <c r="D4" s="82">
        <f t="shared" ref="D4:D6" ca="1" si="7">SUMIF(team1,teams,goals2)+SUMIF(team2,teams,goals1)</f>
        <v>7</v>
      </c>
      <c r="E4" s="90">
        <f t="shared" ca="1" si="3"/>
        <v>7</v>
      </c>
      <c r="F4" s="82">
        <f t="shared" ca="1" si="4"/>
        <v>6</v>
      </c>
      <c r="G4" s="82">
        <f t="shared" ca="1" si="5"/>
        <v>3</v>
      </c>
      <c r="H4" s="91">
        <f t="shared" ref="H4:H6" ca="1" si="8">IF(G4=0,1,0)</f>
        <v>0</v>
      </c>
      <c r="I4" s="91">
        <f ca="1">RANK($E4,$E$3:$E$6,0)</f>
        <v>1</v>
      </c>
      <c r="J4" s="84">
        <f t="shared" ref="J4:J6" ca="1" si="9">RANK($F4,$F$3:$F$6,0)/10</f>
        <v>0.2</v>
      </c>
      <c r="K4" s="85">
        <f ca="1">RANK($C4,$C$3:$C$6,0)/100</f>
        <v>0.01</v>
      </c>
      <c r="L4" s="85">
        <f t="shared" ref="L4:L6" ca="1" si="10">SUM(H4:K4)</f>
        <v>1.21</v>
      </c>
      <c r="M4" s="82">
        <f ca="1">RANK($L4,$L$3:$L$6,1) + COUNTIF($L$3:$L4,$L4)-1</f>
        <v>2</v>
      </c>
      <c r="O4"/>
      <c r="P4"/>
      <c r="Q4"/>
      <c r="R4"/>
    </row>
    <row r="5" spans="1:24" hidden="1" outlineLevel="1" x14ac:dyDescent="0.2">
      <c r="A5" s="89">
        <v>3</v>
      </c>
      <c r="B5" s="89" t="str">
        <f t="shared" si="0"/>
        <v>Christiansfelt</v>
      </c>
      <c r="C5" s="82">
        <f t="shared" ca="1" si="6"/>
        <v>8</v>
      </c>
      <c r="D5" s="82">
        <f t="shared" ca="1" si="7"/>
        <v>14</v>
      </c>
      <c r="E5" s="90">
        <f t="shared" ca="1" si="3"/>
        <v>0</v>
      </c>
      <c r="F5" s="82">
        <f t="shared" ca="1" si="4"/>
        <v>-6</v>
      </c>
      <c r="G5" s="82">
        <f t="shared" ca="1" si="5"/>
        <v>3</v>
      </c>
      <c r="H5" s="91">
        <f t="shared" ca="1" si="8"/>
        <v>0</v>
      </c>
      <c r="I5" s="91">
        <f ca="1">RANK($E5,$E$3:$E$6,0)</f>
        <v>4</v>
      </c>
      <c r="J5" s="84">
        <f t="shared" ca="1" si="9"/>
        <v>0.3</v>
      </c>
      <c r="K5" s="85">
        <f ca="1">RANK($C5,$C$3:$C$6,0)/100</f>
        <v>0.03</v>
      </c>
      <c r="L5" s="85">
        <f t="shared" ca="1" si="10"/>
        <v>4.33</v>
      </c>
      <c r="M5" s="82">
        <f ca="1">RANK($L5,$L$3:$L$6,1) + COUNTIF($L$3:$L5,$L5)-1</f>
        <v>4</v>
      </c>
      <c r="O5"/>
      <c r="P5"/>
      <c r="Q5"/>
      <c r="R5"/>
    </row>
    <row r="6" spans="1:24" hidden="1" outlineLevel="1" x14ac:dyDescent="0.2">
      <c r="A6" s="89">
        <v>4</v>
      </c>
      <c r="B6" s="89" t="str">
        <f t="shared" si="0"/>
        <v>Dragør</v>
      </c>
      <c r="C6" s="82">
        <f t="shared" ca="1" si="6"/>
        <v>9</v>
      </c>
      <c r="D6" s="82">
        <f t="shared" ca="1" si="7"/>
        <v>2</v>
      </c>
      <c r="E6" s="90">
        <f t="shared" ca="1" si="3"/>
        <v>7</v>
      </c>
      <c r="F6" s="82">
        <f t="shared" ca="1" si="4"/>
        <v>7</v>
      </c>
      <c r="G6" s="82">
        <f t="shared" ca="1" si="5"/>
        <v>3</v>
      </c>
      <c r="H6" s="91">
        <f t="shared" ca="1" si="8"/>
        <v>0</v>
      </c>
      <c r="I6" s="91">
        <f ca="1">RANK($E6,$E$3:$E$6,0)</f>
        <v>1</v>
      </c>
      <c r="J6" s="84">
        <f t="shared" ca="1" si="9"/>
        <v>0.1</v>
      </c>
      <c r="K6" s="85">
        <f ca="1">RANK($C6,$C$3:$C$6,0)/100</f>
        <v>0.02</v>
      </c>
      <c r="L6" s="85">
        <f t="shared" ca="1" si="10"/>
        <v>1.1200000000000001</v>
      </c>
      <c r="M6" s="82">
        <f ca="1">RANK($L6,$L$3:$L$6,1) + COUNTIF($L$3:$L6,$L6)-1</f>
        <v>1</v>
      </c>
      <c r="O6"/>
      <c r="P6"/>
      <c r="Q6"/>
      <c r="R6"/>
    </row>
    <row r="7" spans="1:24" ht="13.2" collapsed="1" thickBot="1" x14ac:dyDescent="0.25">
      <c r="O7"/>
      <c r="P7"/>
      <c r="Q7"/>
      <c r="R7"/>
    </row>
    <row r="8" spans="1:24" s="4" customFormat="1" ht="24" thickBot="1" x14ac:dyDescent="0.5">
      <c r="A8" s="38" t="s">
        <v>88</v>
      </c>
      <c r="B8" s="83">
        <v>4</v>
      </c>
      <c r="C8" s="66"/>
      <c r="D8" s="67" t="s">
        <v>64</v>
      </c>
      <c r="E8" s="83">
        <f>(B8/2)*(B8-1)</f>
        <v>6</v>
      </c>
      <c r="O8" s="69" t="str">
        <f>TurneringsNavn</f>
        <v>Forårsstævne</v>
      </c>
      <c r="P8" s="5"/>
      <c r="Q8" s="5"/>
      <c r="R8" s="5"/>
      <c r="S8" s="5"/>
      <c r="T8" s="5"/>
      <c r="U8" s="5"/>
      <c r="V8" s="5"/>
      <c r="W8" s="5"/>
      <c r="X8" s="5"/>
    </row>
    <row r="9" spans="1:24" ht="6.75" customHeight="1" x14ac:dyDescent="0.2">
      <c r="O9"/>
      <c r="P9"/>
      <c r="Q9"/>
      <c r="R9"/>
    </row>
    <row r="10" spans="1:24" ht="13.8" x14ac:dyDescent="0.25">
      <c r="B10" s="34" t="s">
        <v>65</v>
      </c>
      <c r="C10" s="34" t="s">
        <v>66</v>
      </c>
      <c r="D10" s="34" t="s">
        <v>67</v>
      </c>
      <c r="E10" s="34" t="s">
        <v>68</v>
      </c>
      <c r="F10" s="7" t="s">
        <v>1</v>
      </c>
      <c r="G10" s="6" t="s">
        <v>2</v>
      </c>
      <c r="H10" s="6" t="s">
        <v>3</v>
      </c>
      <c r="I10" s="6" t="s">
        <v>87</v>
      </c>
      <c r="O10" s="114" t="s">
        <v>114</v>
      </c>
      <c r="P10" s="115" t="s">
        <v>96</v>
      </c>
      <c r="Q10" s="115"/>
      <c r="R10" s="116" t="s">
        <v>4</v>
      </c>
      <c r="S10" s="114" t="s">
        <v>5</v>
      </c>
      <c r="T10" s="114" t="s">
        <v>6</v>
      </c>
      <c r="U10" s="114" t="s">
        <v>7</v>
      </c>
      <c r="V10" s="114" t="s">
        <v>8</v>
      </c>
      <c r="W10" s="114" t="s">
        <v>9</v>
      </c>
      <c r="X10" s="117" t="s">
        <v>97</v>
      </c>
    </row>
    <row r="11" spans="1:24" ht="17.399999999999999" x14ac:dyDescent="0.35">
      <c r="A11" s="6" t="s">
        <v>65</v>
      </c>
      <c r="B11" s="8"/>
      <c r="C11" s="9">
        <v>5</v>
      </c>
      <c r="D11" s="9"/>
      <c r="E11" s="9">
        <v>1</v>
      </c>
      <c r="F11" s="10" t="str">
        <f ca="1">IFERROR(CHOOSE((P11=H$26)*1+(P11=I$26)*2+(P11=H$24)*3,"Guld","Sølv","Bronze"),"")</f>
        <v/>
      </c>
      <c r="G11" s="11">
        <f ca="1">COUNTIF(P$17:P$22,$B3)</f>
        <v>2</v>
      </c>
      <c r="H11" s="11">
        <f ca="1">COUNTIF(Q$17:Q$22,$B3)</f>
        <v>1</v>
      </c>
      <c r="I11" s="11">
        <f ca="1">SUM(G11:H11)</f>
        <v>3</v>
      </c>
      <c r="O11" s="105">
        <v>1</v>
      </c>
      <c r="P11" s="106" t="str">
        <f ca="1" xml:space="preserve">  INDEX(teams,MATCH(rankNum,actRank,0))</f>
        <v>Dragør</v>
      </c>
      <c r="Q11" s="106"/>
      <c r="R11" s="113">
        <f t="shared" ref="R11:R14" ca="1" si="11">COUNTIFS(team1,teamName,points1,"&gt;=0")+COUNTIFS(team2,teamName,points2,"&gt;=0")</f>
        <v>3</v>
      </c>
      <c r="S11" s="123">
        <f t="shared" ref="S11:S14" ca="1" si="12">COUNTIFS(team1,teamName,points1,ptv)+COUNTIFS(team2,teamName,points2,ptv)</f>
        <v>2</v>
      </c>
      <c r="T11" s="107">
        <f t="shared" ref="T11:T14" ca="1" si="13">COUNTIFS(team1,teamName,points1,ptu)+COUNTIFS(team2,teamName,points2,ptu)</f>
        <v>1</v>
      </c>
      <c r="U11" s="107">
        <f t="shared" ref="U11:U14" ca="1" si="14">COUNTIFS(team1,teamName,points1,ptt)+COUNTIFS(team2,teamName,points2,ptt)</f>
        <v>0</v>
      </c>
      <c r="V11" s="123">
        <f t="shared" ref="V11:V14" ca="1" si="15">SUMIF(team1,teamName,goals1)+SUMIF(team2,teamName,goals2)</f>
        <v>9</v>
      </c>
      <c r="W11" s="107">
        <f t="shared" ref="W11:W14" ca="1" si="16">SUMIF(team1,teamName,goals2)+SUMIF(team2,teamName,goals1)</f>
        <v>2</v>
      </c>
      <c r="X11" s="124">
        <f t="shared" ref="X11:X14" ca="1" si="17">SUMIFS(points1,team1,teamName)+SUMIFS(points2,team2,teamName)</f>
        <v>7</v>
      </c>
    </row>
    <row r="12" spans="1:24" ht="17.399999999999999" x14ac:dyDescent="0.35">
      <c r="A12" s="6" t="s">
        <v>66</v>
      </c>
      <c r="B12" s="9"/>
      <c r="C12" s="8"/>
      <c r="D12" s="9">
        <v>2</v>
      </c>
      <c r="E12" s="9"/>
      <c r="F12" s="10" t="str">
        <f ca="1">IFERROR(CHOOSE((P12=H$26)*1+(P12=I$26)*2+(P12=H$24)*3,"Guld","Sølv","Bronze"),"")</f>
        <v/>
      </c>
      <c r="G12" s="11">
        <f t="shared" ref="G12:H12" ca="1" si="18">COUNTIF(P$17:P$22,$B4)</f>
        <v>1</v>
      </c>
      <c r="H12" s="11">
        <f t="shared" ca="1" si="18"/>
        <v>2</v>
      </c>
      <c r="I12" s="11">
        <f t="shared" ref="I12:I14" ca="1" si="19">SUM(G12:H12)</f>
        <v>3</v>
      </c>
      <c r="O12" s="105">
        <v>2</v>
      </c>
      <c r="P12" s="106" t="str">
        <f t="shared" ref="P12:P14" ca="1" si="20" xml:space="preserve">  INDEX(teams,MATCH(rankNum,actRank,0))</f>
        <v>Bogense</v>
      </c>
      <c r="Q12" s="106"/>
      <c r="R12" s="113">
        <f t="shared" ca="1" si="11"/>
        <v>3</v>
      </c>
      <c r="S12" s="123">
        <f t="shared" ca="1" si="12"/>
        <v>2</v>
      </c>
      <c r="T12" s="107">
        <f t="shared" ca="1" si="13"/>
        <v>1</v>
      </c>
      <c r="U12" s="107">
        <f t="shared" ca="1" si="14"/>
        <v>0</v>
      </c>
      <c r="V12" s="123">
        <f t="shared" ca="1" si="15"/>
        <v>13</v>
      </c>
      <c r="W12" s="107">
        <f t="shared" ca="1" si="16"/>
        <v>7</v>
      </c>
      <c r="X12" s="124">
        <f t="shared" ca="1" si="17"/>
        <v>7</v>
      </c>
    </row>
    <row r="13" spans="1:24" ht="17.399999999999999" x14ac:dyDescent="0.35">
      <c r="A13" s="6" t="s">
        <v>67</v>
      </c>
      <c r="B13" s="9">
        <v>3</v>
      </c>
      <c r="C13" s="9"/>
      <c r="D13" s="8"/>
      <c r="E13" s="9">
        <v>6</v>
      </c>
      <c r="F13" s="10" t="str">
        <f ca="1">IFERROR(CHOOSE((P13=H$26)*1+(P13=I$26)*2+(P13=H$24)*3,"Guld","Sølv","Bronze"),"")</f>
        <v/>
      </c>
      <c r="G13" s="11">
        <f t="shared" ref="G13:H13" ca="1" si="21">COUNTIF(P$17:P$22,$B5)</f>
        <v>2</v>
      </c>
      <c r="H13" s="11">
        <f t="shared" ca="1" si="21"/>
        <v>1</v>
      </c>
      <c r="I13" s="11">
        <f t="shared" ca="1" si="19"/>
        <v>3</v>
      </c>
      <c r="O13" s="105">
        <v>3</v>
      </c>
      <c r="P13" s="106" t="str">
        <f t="shared" ca="1" si="20"/>
        <v>Assens</v>
      </c>
      <c r="Q13" s="106"/>
      <c r="R13" s="113">
        <f t="shared" ca="1" si="11"/>
        <v>3</v>
      </c>
      <c r="S13" s="123">
        <f t="shared" ca="1" si="12"/>
        <v>1</v>
      </c>
      <c r="T13" s="107">
        <f t="shared" ca="1" si="13"/>
        <v>0</v>
      </c>
      <c r="U13" s="107">
        <f t="shared" ca="1" si="14"/>
        <v>2</v>
      </c>
      <c r="V13" s="123">
        <f t="shared" ca="1" si="15"/>
        <v>5</v>
      </c>
      <c r="W13" s="107">
        <f t="shared" ca="1" si="16"/>
        <v>12</v>
      </c>
      <c r="X13" s="124">
        <f t="shared" ca="1" si="17"/>
        <v>3</v>
      </c>
    </row>
    <row r="14" spans="1:24" ht="17.399999999999999" x14ac:dyDescent="0.35">
      <c r="A14" s="6" t="s">
        <v>68</v>
      </c>
      <c r="B14" s="9"/>
      <c r="C14" s="9">
        <v>4</v>
      </c>
      <c r="D14" s="9"/>
      <c r="E14" s="8"/>
      <c r="F14" s="10" t="str">
        <f ca="1">IFERROR(CHOOSE((P14=H$26)*1+(P14=I$26)*2+(P14=H$24)*3,"Guld","Sølv","Bronze"),"")</f>
        <v/>
      </c>
      <c r="G14" s="11">
        <f t="shared" ref="G14:H14" ca="1" si="22">COUNTIF(P$17:P$22,$B6)</f>
        <v>1</v>
      </c>
      <c r="H14" s="11">
        <f t="shared" ca="1" si="22"/>
        <v>2</v>
      </c>
      <c r="I14" s="11">
        <f t="shared" ca="1" si="19"/>
        <v>3</v>
      </c>
      <c r="O14" s="105">
        <v>4</v>
      </c>
      <c r="P14" s="106" t="str">
        <f t="shared" ca="1" si="20"/>
        <v>Christiansfelt</v>
      </c>
      <c r="Q14" s="106"/>
      <c r="R14" s="113">
        <f t="shared" ca="1" si="11"/>
        <v>3</v>
      </c>
      <c r="S14" s="123">
        <f t="shared" ca="1" si="12"/>
        <v>0</v>
      </c>
      <c r="T14" s="107">
        <f t="shared" ca="1" si="13"/>
        <v>0</v>
      </c>
      <c r="U14" s="107">
        <f t="shared" ca="1" si="14"/>
        <v>3</v>
      </c>
      <c r="V14" s="123">
        <f t="shared" ca="1" si="15"/>
        <v>8</v>
      </c>
      <c r="W14" s="107">
        <f t="shared" ca="1" si="16"/>
        <v>14</v>
      </c>
      <c r="X14" s="124">
        <f t="shared" ca="1" si="17"/>
        <v>0</v>
      </c>
    </row>
    <row r="15" spans="1:24" ht="12" customHeight="1" x14ac:dyDescent="0.2">
      <c r="O15"/>
      <c r="P15"/>
      <c r="Q15"/>
      <c r="R15"/>
    </row>
    <row r="16" spans="1:24" s="12" customFormat="1" ht="15" thickBot="1" x14ac:dyDescent="0.35">
      <c r="C16" s="39" t="s">
        <v>16</v>
      </c>
      <c r="D16" s="40" t="s">
        <v>17</v>
      </c>
      <c r="E16" s="55" t="s">
        <v>18</v>
      </c>
      <c r="F16" s="41" t="s">
        <v>19</v>
      </c>
      <c r="G16" s="41" t="s">
        <v>20</v>
      </c>
      <c r="H16" s="41" t="s">
        <v>21</v>
      </c>
      <c r="I16" s="41" t="s">
        <v>22</v>
      </c>
      <c r="J16" s="42" t="s">
        <v>23</v>
      </c>
      <c r="K16" s="43" t="s">
        <v>24</v>
      </c>
      <c r="L16" s="43"/>
      <c r="O16" s="122" t="s">
        <v>4</v>
      </c>
      <c r="P16" s="121" t="s">
        <v>25</v>
      </c>
      <c r="Q16" s="121" t="s">
        <v>26</v>
      </c>
      <c r="R16" s="151" t="s">
        <v>27</v>
      </c>
      <c r="S16" s="151" t="s">
        <v>28</v>
      </c>
      <c r="T16" s="151" t="s">
        <v>29</v>
      </c>
      <c r="U16" s="152" t="s">
        <v>30</v>
      </c>
      <c r="V16" s="152" t="s">
        <v>30</v>
      </c>
      <c r="W16" s="120" t="s">
        <v>31</v>
      </c>
      <c r="X16" s="120" t="s">
        <v>31</v>
      </c>
    </row>
    <row r="17" spans="1:24" ht="17.399999999999999" x14ac:dyDescent="0.35">
      <c r="A17" s="13"/>
      <c r="B17" s="14"/>
      <c r="C17" s="44" t="s">
        <v>75</v>
      </c>
      <c r="D17" s="45"/>
      <c r="E17" s="44">
        <v>1</v>
      </c>
      <c r="F17" s="46">
        <f t="shared" ref="F17:F22" si="23">SUMPRODUCT((HxA=$E17)*(COLUMN(HxA)))-COLUMN(HxA)+1</f>
        <v>5</v>
      </c>
      <c r="G17" s="46">
        <f t="shared" ref="G17:G22" si="24">SUMPRODUCT((HxA=$E17)*(ROW(HxA)))-ROW(HxA)+1</f>
        <v>2</v>
      </c>
      <c r="H17" s="47" t="str">
        <f>INDEX(HxA,G17,1)</f>
        <v>T_01</v>
      </c>
      <c r="I17" s="47" t="str">
        <f t="shared" ref="I17:I22" si="25">INDEX(HxA,1,F17)</f>
        <v>T_04</v>
      </c>
      <c r="J17" s="48"/>
      <c r="K17" s="49">
        <v>43832</v>
      </c>
      <c r="L17" s="78"/>
      <c r="O17" s="108">
        <v>1</v>
      </c>
      <c r="P17" s="108" t="str">
        <f t="shared" ref="P17:Q22" ca="1" si="26">INDIRECT(H17)</f>
        <v>Assens</v>
      </c>
      <c r="Q17" s="108" t="str">
        <f t="shared" ca="1" si="26"/>
        <v>Dragør</v>
      </c>
      <c r="R17" s="133">
        <v>43832</v>
      </c>
      <c r="S17" s="134" t="s">
        <v>32</v>
      </c>
      <c r="T17" s="135">
        <v>1</v>
      </c>
      <c r="U17" s="136">
        <v>0</v>
      </c>
      <c r="V17" s="137">
        <v>4</v>
      </c>
      <c r="W17" s="107">
        <f t="shared" ref="W17:W22" si="27">IF(ISNUMBER(U17)*ISNUMBER(V17),IF(U17&gt;V17,ptv, IF(U17=V17,ptu,ptt)),"-")</f>
        <v>0</v>
      </c>
      <c r="X17" s="107">
        <f t="shared" ref="X17:X22" si="28">IF(ISNUMBER(U17)*ISNUMBER(V17),IF(W17=ptv,ptt,IF(W17=ptu,ptu,ptv)),"-")</f>
        <v>3</v>
      </c>
    </row>
    <row r="18" spans="1:24" ht="18" thickBot="1" x14ac:dyDescent="0.4">
      <c r="A18" s="13"/>
      <c r="B18" s="14"/>
      <c r="C18" s="61" t="s">
        <v>73</v>
      </c>
      <c r="D18" s="60">
        <f>OR(H18=H17,H18=I17,I18=H17,I18=I17)*1</f>
        <v>0</v>
      </c>
      <c r="E18" s="61">
        <v>2</v>
      </c>
      <c r="F18" s="62">
        <f t="shared" si="23"/>
        <v>4</v>
      </c>
      <c r="G18" s="62">
        <f t="shared" si="24"/>
        <v>3</v>
      </c>
      <c r="H18" s="63" t="str">
        <f t="shared" ref="H18:H22" si="29">INDEX(HxA,G18,1)</f>
        <v>T_02</v>
      </c>
      <c r="I18" s="63" t="str">
        <f t="shared" si="25"/>
        <v>T_03</v>
      </c>
      <c r="J18" s="63">
        <v>0</v>
      </c>
      <c r="K18" s="64">
        <f>$K$17+J18</f>
        <v>43832</v>
      </c>
      <c r="L18" s="78"/>
      <c r="O18" s="110">
        <v>2</v>
      </c>
      <c r="P18" s="110" t="str">
        <f t="shared" ca="1" si="26"/>
        <v>Bogense</v>
      </c>
      <c r="Q18" s="110" t="str">
        <f t="shared" ca="1" si="26"/>
        <v>Christiansfelt</v>
      </c>
      <c r="R18" s="119">
        <v>43832</v>
      </c>
      <c r="S18" s="111" t="str">
        <f>IFERROR(S17+mMin,"-")</f>
        <v>-</v>
      </c>
      <c r="T18" s="129">
        <v>2</v>
      </c>
      <c r="U18" s="130">
        <v>6</v>
      </c>
      <c r="V18" s="131">
        <v>5</v>
      </c>
      <c r="W18" s="112">
        <f t="shared" si="27"/>
        <v>3</v>
      </c>
      <c r="X18" s="112">
        <f t="shared" si="28"/>
        <v>0</v>
      </c>
    </row>
    <row r="19" spans="1:24" ht="17.399999999999999" x14ac:dyDescent="0.35">
      <c r="A19" s="13"/>
      <c r="B19" s="14"/>
      <c r="C19" s="57" t="s">
        <v>77</v>
      </c>
      <c r="D19" s="56">
        <f t="shared" ref="D19:D22" si="30">OR(H19=H18,H19=I18,I19=H18,I19=I18)*1</f>
        <v>1</v>
      </c>
      <c r="E19" s="57">
        <v>3</v>
      </c>
      <c r="F19" s="45">
        <f t="shared" si="23"/>
        <v>2</v>
      </c>
      <c r="G19" s="45">
        <f t="shared" si="24"/>
        <v>4</v>
      </c>
      <c r="H19" s="58" t="str">
        <f t="shared" si="29"/>
        <v>T_03</v>
      </c>
      <c r="I19" s="58" t="str">
        <f t="shared" si="25"/>
        <v>T_01</v>
      </c>
      <c r="J19" s="58">
        <v>0</v>
      </c>
      <c r="K19" s="59">
        <f t="shared" ref="K19:K26" si="31">$K$17+J19</f>
        <v>43832</v>
      </c>
      <c r="L19" s="78"/>
      <c r="O19" s="132">
        <v>3</v>
      </c>
      <c r="P19" s="132" t="str">
        <f t="shared" ca="1" si="26"/>
        <v>Christiansfelt</v>
      </c>
      <c r="Q19" s="132" t="str">
        <f t="shared" ca="1" si="26"/>
        <v>Assens</v>
      </c>
      <c r="R19" s="133">
        <v>43832</v>
      </c>
      <c r="S19" s="134" t="s">
        <v>32</v>
      </c>
      <c r="T19" s="135">
        <v>1</v>
      </c>
      <c r="U19" s="136">
        <v>3</v>
      </c>
      <c r="V19" s="137">
        <v>5</v>
      </c>
      <c r="W19" s="138">
        <f t="shared" si="27"/>
        <v>0</v>
      </c>
      <c r="X19" s="138">
        <f t="shared" si="28"/>
        <v>3</v>
      </c>
    </row>
    <row r="20" spans="1:24" ht="18" thickBot="1" x14ac:dyDescent="0.4">
      <c r="A20" s="13"/>
      <c r="B20" s="14"/>
      <c r="C20" s="61" t="s">
        <v>78</v>
      </c>
      <c r="D20" s="60">
        <f t="shared" si="30"/>
        <v>0</v>
      </c>
      <c r="E20" s="61">
        <v>4</v>
      </c>
      <c r="F20" s="62">
        <f t="shared" si="23"/>
        <v>3</v>
      </c>
      <c r="G20" s="62">
        <f t="shared" si="24"/>
        <v>5</v>
      </c>
      <c r="H20" s="63" t="str">
        <f t="shared" si="29"/>
        <v>T_04</v>
      </c>
      <c r="I20" s="63" t="str">
        <f t="shared" si="25"/>
        <v>T_02</v>
      </c>
      <c r="J20" s="63">
        <v>1</v>
      </c>
      <c r="K20" s="64">
        <f t="shared" si="31"/>
        <v>43833</v>
      </c>
      <c r="L20" s="78"/>
      <c r="O20" s="110">
        <v>4</v>
      </c>
      <c r="P20" s="110" t="str">
        <f t="shared" ca="1" si="26"/>
        <v>Dragør</v>
      </c>
      <c r="Q20" s="110" t="str">
        <f t="shared" ca="1" si="26"/>
        <v>Bogense</v>
      </c>
      <c r="R20" s="119">
        <v>43833</v>
      </c>
      <c r="S20" s="111" t="str">
        <f>IFERROR(S19+mMin,"-")</f>
        <v>-</v>
      </c>
      <c r="T20" s="129">
        <v>2</v>
      </c>
      <c r="U20" s="130">
        <v>2</v>
      </c>
      <c r="V20" s="131">
        <v>2</v>
      </c>
      <c r="W20" s="112">
        <f t="shared" si="27"/>
        <v>1</v>
      </c>
      <c r="X20" s="112">
        <f t="shared" si="28"/>
        <v>1</v>
      </c>
    </row>
    <row r="21" spans="1:24" ht="17.399999999999999" x14ac:dyDescent="0.35">
      <c r="A21" s="13"/>
      <c r="B21" s="14"/>
      <c r="C21" s="57" t="s">
        <v>79</v>
      </c>
      <c r="D21" s="56">
        <f t="shared" si="30"/>
        <v>1</v>
      </c>
      <c r="E21" s="57">
        <v>5</v>
      </c>
      <c r="F21" s="45">
        <f t="shared" si="23"/>
        <v>3</v>
      </c>
      <c r="G21" s="45">
        <f t="shared" si="24"/>
        <v>2</v>
      </c>
      <c r="H21" s="58" t="str">
        <f t="shared" si="29"/>
        <v>T_01</v>
      </c>
      <c r="I21" s="58" t="str">
        <f t="shared" si="25"/>
        <v>T_02</v>
      </c>
      <c r="J21" s="58">
        <v>1</v>
      </c>
      <c r="K21" s="59">
        <f t="shared" si="31"/>
        <v>43833</v>
      </c>
      <c r="L21" s="78"/>
      <c r="O21" s="132">
        <v>5</v>
      </c>
      <c r="P21" s="132" t="str">
        <f t="shared" ca="1" si="26"/>
        <v>Assens</v>
      </c>
      <c r="Q21" s="132" t="str">
        <f t="shared" ca="1" si="26"/>
        <v>Bogense</v>
      </c>
      <c r="R21" s="133">
        <v>43833</v>
      </c>
      <c r="S21" s="134" t="s">
        <v>32</v>
      </c>
      <c r="T21" s="135">
        <v>1</v>
      </c>
      <c r="U21" s="136">
        <v>0</v>
      </c>
      <c r="V21" s="137">
        <v>5</v>
      </c>
      <c r="W21" s="138">
        <f t="shared" si="27"/>
        <v>0</v>
      </c>
      <c r="X21" s="138">
        <f t="shared" si="28"/>
        <v>3</v>
      </c>
    </row>
    <row r="22" spans="1:24" ht="18" thickBot="1" x14ac:dyDescent="0.4">
      <c r="A22" s="13"/>
      <c r="B22" s="14"/>
      <c r="C22" s="57" t="s">
        <v>72</v>
      </c>
      <c r="D22" s="56">
        <f t="shared" si="30"/>
        <v>0</v>
      </c>
      <c r="E22" s="57">
        <v>6</v>
      </c>
      <c r="F22" s="45">
        <f t="shared" si="23"/>
        <v>5</v>
      </c>
      <c r="G22" s="45">
        <f t="shared" si="24"/>
        <v>4</v>
      </c>
      <c r="H22" s="58" t="str">
        <f t="shared" si="29"/>
        <v>T_03</v>
      </c>
      <c r="I22" s="58" t="str">
        <f t="shared" si="25"/>
        <v>T_04</v>
      </c>
      <c r="J22" s="58">
        <v>1</v>
      </c>
      <c r="K22" s="59">
        <f t="shared" si="31"/>
        <v>43833</v>
      </c>
      <c r="L22" s="78"/>
      <c r="O22" s="110">
        <v>6</v>
      </c>
      <c r="P22" s="110" t="str">
        <f t="shared" ca="1" si="26"/>
        <v>Christiansfelt</v>
      </c>
      <c r="Q22" s="110" t="str">
        <f t="shared" ca="1" si="26"/>
        <v>Dragør</v>
      </c>
      <c r="R22" s="119">
        <v>43833</v>
      </c>
      <c r="S22" s="111" t="str">
        <f>IFERROR(S21+mMin,"-")</f>
        <v>-</v>
      </c>
      <c r="T22" s="129">
        <v>2</v>
      </c>
      <c r="U22" s="130">
        <v>0</v>
      </c>
      <c r="V22" s="131">
        <v>3</v>
      </c>
      <c r="W22" s="112">
        <f t="shared" si="27"/>
        <v>0</v>
      </c>
      <c r="X22" s="112">
        <f t="shared" si="28"/>
        <v>3</v>
      </c>
    </row>
    <row r="23" spans="1:24" ht="18" thickBot="1" x14ac:dyDescent="0.4">
      <c r="H23" s="19" t="s">
        <v>33</v>
      </c>
      <c r="I23" s="19" t="s">
        <v>34</v>
      </c>
      <c r="J23" s="15"/>
      <c r="K23" s="17"/>
      <c r="L23" s="78"/>
      <c r="P23" s="79"/>
      <c r="Q23" s="79"/>
      <c r="R23" s="79"/>
      <c r="S23" s="5"/>
      <c r="T23" s="5"/>
      <c r="U23" s="18"/>
      <c r="V23" s="36"/>
    </row>
    <row r="24" spans="1:24" ht="18" thickBot="1" x14ac:dyDescent="0.4">
      <c r="H24" s="20" t="str">
        <f>IF(ISNUMBER(U24),IF(U24&gt;V24,P24,Q24),"")</f>
        <v/>
      </c>
      <c r="I24" s="20" t="str">
        <f>IF(ISNUMBER(U24),IF(H24=P24,Q24,P24),"")</f>
        <v/>
      </c>
      <c r="J24" s="15">
        <v>10</v>
      </c>
      <c r="K24" s="17">
        <f t="shared" si="31"/>
        <v>43842</v>
      </c>
      <c r="L24" s="78"/>
      <c r="O24" s="76" t="s">
        <v>63</v>
      </c>
      <c r="P24" s="77"/>
      <c r="Q24" s="77"/>
      <c r="R24" s="146">
        <v>43750</v>
      </c>
      <c r="S24" s="147">
        <v>0.54166666666666663</v>
      </c>
      <c r="T24" s="148">
        <v>2</v>
      </c>
      <c r="U24" s="149"/>
      <c r="V24" s="150"/>
      <c r="W24" s="21" t="str">
        <f t="shared" ref="W24" si="32">IF(ISNUMBER(U24)*ISNUMBER(V24),IF(U24&gt;V24,ptv, IF(U24=V24,ptu,ptt)),"-")</f>
        <v>-</v>
      </c>
      <c r="X24" s="21" t="str">
        <f t="shared" ref="X24" si="33">IF(ISNUMBER(U24)*ISNUMBER(V24),IF(W24=ptv,ptt,IF(W24=ptu,ptu,ptv)),"-")</f>
        <v>-</v>
      </c>
    </row>
    <row r="25" spans="1:24" ht="15" thickBot="1" x14ac:dyDescent="0.25">
      <c r="H25" s="19" t="s">
        <v>35</v>
      </c>
      <c r="I25" s="19" t="s">
        <v>36</v>
      </c>
      <c r="J25" s="15"/>
      <c r="K25" s="17"/>
      <c r="L25" s="78"/>
      <c r="P25" s="79"/>
      <c r="Q25" s="79"/>
      <c r="R25" s="79"/>
      <c r="S25" s="5"/>
      <c r="T25" s="5"/>
      <c r="U25" s="5"/>
      <c r="V25" s="80"/>
    </row>
    <row r="26" spans="1:24" ht="18" thickBot="1" x14ac:dyDescent="0.4">
      <c r="H26" s="20" t="str">
        <f>IF(ISNUMBER(U26),IF(U26&gt;V26,P26,Q26),"")</f>
        <v/>
      </c>
      <c r="I26" s="20" t="str">
        <f>IF(ISNUMBER(U26),IF(H26=P26,Q26,P26),"")</f>
        <v/>
      </c>
      <c r="J26" s="15">
        <v>11</v>
      </c>
      <c r="K26" s="17">
        <f t="shared" si="31"/>
        <v>43843</v>
      </c>
      <c r="L26" s="78"/>
      <c r="O26" s="75" t="s">
        <v>95</v>
      </c>
      <c r="P26" s="77"/>
      <c r="Q26" s="77"/>
      <c r="R26" s="146">
        <v>43751</v>
      </c>
      <c r="S26" s="147">
        <v>0.54166666666666663</v>
      </c>
      <c r="T26" s="148">
        <v>2</v>
      </c>
      <c r="U26" s="149"/>
      <c r="V26" s="150"/>
      <c r="W26" s="21" t="str">
        <f t="shared" ref="W26" si="34">IF(ISNUMBER(U26)*ISNUMBER(V26),IF(U26&gt;V26,ptv, IF(U26=V26,ptu,ptt)),"-")</f>
        <v>-</v>
      </c>
      <c r="X26" s="21" t="str">
        <f t="shared" ref="X26" si="35">IF(ISNUMBER(U26)*ISNUMBER(V26),IF(W26=ptv,ptt,IF(W26=ptu,ptu,ptv)),"-")</f>
        <v>-</v>
      </c>
    </row>
    <row r="27" spans="1:24" ht="14.4" x14ac:dyDescent="0.2">
      <c r="L27" s="78"/>
    </row>
  </sheetData>
  <sheetProtection sheet="1" objects="1" scenarios="1"/>
  <conditionalFormatting sqref="D18:D19">
    <cfRule type="expression" dxfId="22" priority="5">
      <formula>D18=1</formula>
    </cfRule>
  </conditionalFormatting>
  <conditionalFormatting sqref="D20:D22">
    <cfRule type="expression" dxfId="21" priority="4">
      <formula>D20=1</formula>
    </cfRule>
  </conditionalFormatting>
  <conditionalFormatting sqref="D19">
    <cfRule type="expression" dxfId="20" priority="1">
      <formula>D19=1</formula>
    </cfRule>
  </conditionalFormatting>
  <conditionalFormatting sqref="B11:E14">
    <cfRule type="duplicateValues" dxfId="19" priority="34"/>
    <cfRule type="expression" dxfId="18" priority="35">
      <formula>AND(B11&lt;=$E$8,ISNUMBER(B11))</formula>
    </cfRule>
  </conditionalFormatting>
  <conditionalFormatting sqref="L3:L6">
    <cfRule type="duplicateValues" dxfId="17" priority="36"/>
  </conditionalFormatting>
  <conditionalFormatting sqref="M3:M6">
    <cfRule type="duplicateValues" dxfId="16" priority="37"/>
  </conditionalFormatting>
  <dataValidations disablePrompts="1" count="1">
    <dataValidation type="list" allowBlank="1" showInputMessage="1" showErrorMessage="1" sqref="P24:Q24 P26:Q26" xr:uid="{E303BF67-B625-4CBB-B7A4-EBD0A3DFCB5A}">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AFC5-7CE3-4056-9558-DFF8EC43195E}">
  <sheetPr codeName="grp04x2">
    <tabColor theme="6" tint="-0.249977111117893"/>
    <outlinePr showOutlineSymbols="0"/>
    <pageSetUpPr fitToPage="1"/>
  </sheetPr>
  <dimension ref="A1:X33"/>
  <sheetViews>
    <sheetView showGridLines="0" showRowColHeaders="0" showOutlineSymbols="0" zoomScaleNormal="100" zoomScaleSheetLayoutView="100" workbookViewId="0">
      <pane ySplit="16" topLeftCell="A17" activePane="bottomLeft" state="frozen"/>
      <selection activeCell="L43" sqref="L43"/>
      <selection pane="bottomLeft" activeCell="P17" sqref="P17"/>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5"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116</v>
      </c>
      <c r="C1" t="s">
        <v>99</v>
      </c>
      <c r="G1" t="s">
        <v>106</v>
      </c>
      <c r="L1" t="s">
        <v>112</v>
      </c>
    </row>
    <row r="2" spans="1:24" ht="13.8" hidden="1" outlineLevel="1" x14ac:dyDescent="0.3">
      <c r="A2" s="3" t="s">
        <v>105</v>
      </c>
      <c r="B2" s="3" t="s">
        <v>100</v>
      </c>
      <c r="C2" s="81" t="s">
        <v>8</v>
      </c>
      <c r="D2" s="81" t="s">
        <v>9</v>
      </c>
      <c r="E2" s="35" t="s">
        <v>97</v>
      </c>
      <c r="F2" s="81" t="s">
        <v>98</v>
      </c>
      <c r="G2" s="81" t="s">
        <v>86</v>
      </c>
      <c r="H2" s="87" t="s">
        <v>86</v>
      </c>
      <c r="I2" s="87" t="s">
        <v>102</v>
      </c>
      <c r="J2" s="87" t="s">
        <v>103</v>
      </c>
      <c r="K2" s="87" t="s">
        <v>104</v>
      </c>
      <c r="L2" s="88" t="s">
        <v>87</v>
      </c>
      <c r="M2" s="86" t="s">
        <v>101</v>
      </c>
    </row>
    <row r="3" spans="1:24" hidden="1" outlineLevel="1" x14ac:dyDescent="0.2">
      <c r="A3" s="89">
        <v>1</v>
      </c>
      <c r="B3" s="89" t="str">
        <f t="shared" ref="B3:B6" si="0">INDEX(xTeams,A3,1)</f>
        <v>Assens</v>
      </c>
      <c r="C3" s="82">
        <f t="shared" ref="C3" ca="1" si="1">SUMIF(team1,teams,goals1)+SUMIF(team2,teams,goals2)</f>
        <v>22</v>
      </c>
      <c r="D3" s="82">
        <f t="shared" ref="D3" ca="1" si="2">SUMIF(team1,teams,goals2)+SUMIF(team2,teams,goals1)</f>
        <v>15</v>
      </c>
      <c r="E3" s="90">
        <f t="shared" ref="E3:E6" ca="1" si="3">SUMIFS(
   points1,team1,teams
) +
  SUMIFS(points2,team2,teams)</f>
        <v>12</v>
      </c>
      <c r="F3" s="82">
        <f t="shared" ref="F3:F6" ca="1" si="4">C3-D3</f>
        <v>7</v>
      </c>
      <c r="G3" s="82">
        <f t="shared" ref="G3:G6" ca="1" si="5">COUNTIFS(team1,$B3,points1,"&gt;=0")+COUNTIFS(team2,$B3,points2,"&gt;=0")</f>
        <v>6</v>
      </c>
      <c r="H3" s="91">
        <f ca="1">IF(G3=0,1,0)</f>
        <v>0</v>
      </c>
      <c r="I3" s="91">
        <f ca="1">RANK($E3,$E$3:$E$6,0)</f>
        <v>1</v>
      </c>
      <c r="J3" s="84">
        <f ca="1">RANK($F3,$F$3:$F$6,0)/10</f>
        <v>0.1</v>
      </c>
      <c r="K3" s="85">
        <f ca="1">RANK($C3,$C$3:$C$6,0)/100</f>
        <v>0.01</v>
      </c>
      <c r="L3" s="85">
        <f ca="1">SUM(H3:K3)</f>
        <v>1.1100000000000001</v>
      </c>
      <c r="M3" s="82">
        <f ca="1">RANK($L3,$L$3:$L$6,1) + COUNTIF($L$3:$L3,$L3)-1</f>
        <v>1</v>
      </c>
    </row>
    <row r="4" spans="1:24" hidden="1" outlineLevel="1" x14ac:dyDescent="0.2">
      <c r="A4" s="89">
        <v>2</v>
      </c>
      <c r="B4" s="89" t="str">
        <f t="shared" si="0"/>
        <v>Bogense</v>
      </c>
      <c r="C4" s="82">
        <f t="shared" ref="C4:C6" ca="1" si="6">SUMIF(team1,teams,goals1)+SUMIF(team2,teams,goals2)</f>
        <v>17</v>
      </c>
      <c r="D4" s="82">
        <f t="shared" ref="D4:D6" ca="1" si="7">SUMIF(team1,teams,goals2)+SUMIF(team2,teams,goals1)</f>
        <v>27</v>
      </c>
      <c r="E4" s="90">
        <f t="shared" ca="1" si="3"/>
        <v>2</v>
      </c>
      <c r="F4" s="82">
        <f t="shared" ca="1" si="4"/>
        <v>-10</v>
      </c>
      <c r="G4" s="82">
        <f t="shared" ca="1" si="5"/>
        <v>6</v>
      </c>
      <c r="H4" s="91">
        <f t="shared" ref="H4:H6" ca="1" si="8">IF(G4=0,1,0)</f>
        <v>0</v>
      </c>
      <c r="I4" s="91">
        <f ca="1">RANK($E4,$E$3:$E$6,0)</f>
        <v>4</v>
      </c>
      <c r="J4" s="84">
        <f ca="1">RANK($F4,$F$3:$F$6,0)/10</f>
        <v>0.4</v>
      </c>
      <c r="K4" s="85">
        <f ca="1">RANK($C4,$C$3:$C$6,0)/100</f>
        <v>0.03</v>
      </c>
      <c r="L4" s="85">
        <f t="shared" ref="L4:L6" ca="1" si="9">SUM(H4:K4)</f>
        <v>4.4300000000000006</v>
      </c>
      <c r="M4" s="82">
        <f ca="1">RANK($L4,$L$3:$L$6,1) + COUNTIF($L$3:$L4,$L4)-1</f>
        <v>4</v>
      </c>
    </row>
    <row r="5" spans="1:24" hidden="1" outlineLevel="1" x14ac:dyDescent="0.2">
      <c r="A5" s="89">
        <v>3</v>
      </c>
      <c r="B5" s="89" t="str">
        <f t="shared" si="0"/>
        <v>Christiansfelt</v>
      </c>
      <c r="C5" s="82">
        <f t="shared" ca="1" si="6"/>
        <v>22</v>
      </c>
      <c r="D5" s="82">
        <f t="shared" ca="1" si="7"/>
        <v>21</v>
      </c>
      <c r="E5" s="90">
        <f t="shared" ca="1" si="3"/>
        <v>10</v>
      </c>
      <c r="F5" s="82">
        <f t="shared" ca="1" si="4"/>
        <v>1</v>
      </c>
      <c r="G5" s="82">
        <f t="shared" ca="1" si="5"/>
        <v>6</v>
      </c>
      <c r="H5" s="91">
        <f t="shared" ca="1" si="8"/>
        <v>0</v>
      </c>
      <c r="I5" s="91">
        <f ca="1">RANK($E5,$E$3:$E$6,0)</f>
        <v>2</v>
      </c>
      <c r="J5" s="84">
        <f ca="1">RANK($F5,$F$3:$F$6,0)/10</f>
        <v>0.3</v>
      </c>
      <c r="K5" s="85">
        <f ca="1">RANK($C5,$C$3:$C$6,0)/100</f>
        <v>0.01</v>
      </c>
      <c r="L5" s="85">
        <f t="shared" ca="1" si="9"/>
        <v>2.3099999999999996</v>
      </c>
      <c r="M5" s="82">
        <f ca="1">RANK($L5,$L$3:$L$6,1) + COUNTIF($L$3:$L5,$L5)-1</f>
        <v>3</v>
      </c>
    </row>
    <row r="6" spans="1:24" hidden="1" outlineLevel="1" x14ac:dyDescent="0.2">
      <c r="A6" s="89">
        <v>4</v>
      </c>
      <c r="B6" s="89" t="str">
        <f t="shared" si="0"/>
        <v>Dragør</v>
      </c>
      <c r="C6" s="82">
        <f t="shared" ca="1" si="6"/>
        <v>13</v>
      </c>
      <c r="D6" s="82">
        <f t="shared" ca="1" si="7"/>
        <v>11</v>
      </c>
      <c r="E6" s="90">
        <f t="shared" ca="1" si="3"/>
        <v>10</v>
      </c>
      <c r="F6" s="82">
        <f t="shared" ca="1" si="4"/>
        <v>2</v>
      </c>
      <c r="G6" s="82">
        <f t="shared" ca="1" si="5"/>
        <v>6</v>
      </c>
      <c r="H6" s="91">
        <f t="shared" ca="1" si="8"/>
        <v>0</v>
      </c>
      <c r="I6" s="91">
        <f ca="1">RANK($E6,$E$3:$E$6,0)</f>
        <v>2</v>
      </c>
      <c r="J6" s="84">
        <f ca="1">RANK($F6,$F$3:$F$6,0)/10</f>
        <v>0.2</v>
      </c>
      <c r="K6" s="85">
        <f ca="1">RANK($C6,$C$3:$C$6,0)/100</f>
        <v>0.04</v>
      </c>
      <c r="L6" s="85">
        <f t="shared" ca="1" si="9"/>
        <v>2.2400000000000002</v>
      </c>
      <c r="M6" s="82">
        <f ca="1">RANK($L6,$L$3:$L$6,1) + COUNTIF($L$3:$L6,$L6)-1</f>
        <v>2</v>
      </c>
    </row>
    <row r="7" spans="1:24" ht="13.2" collapsed="1" thickBot="1" x14ac:dyDescent="0.25">
      <c r="O7"/>
      <c r="P7"/>
      <c r="Q7"/>
      <c r="R7"/>
    </row>
    <row r="8" spans="1:24" s="4" customFormat="1" ht="24" thickBot="1" x14ac:dyDescent="0.5">
      <c r="A8" s="38" t="s">
        <v>88</v>
      </c>
      <c r="B8" s="83">
        <v>4</v>
      </c>
      <c r="C8" s="66"/>
      <c r="D8" s="67" t="s">
        <v>64</v>
      </c>
      <c r="E8" s="83">
        <f>(B8/2)*(B8-1)</f>
        <v>6</v>
      </c>
      <c r="O8" s="69" t="str">
        <f>TurneringsNavn</f>
        <v>Forårsstævne</v>
      </c>
      <c r="P8" s="5"/>
      <c r="Q8" s="5"/>
      <c r="R8" s="5"/>
      <c r="S8" s="5"/>
      <c r="T8" s="5"/>
      <c r="U8" s="5"/>
      <c r="V8" s="5"/>
      <c r="W8" s="5"/>
      <c r="X8" s="5"/>
    </row>
    <row r="9" spans="1:24" ht="6.75" customHeight="1" x14ac:dyDescent="0.2">
      <c r="O9"/>
      <c r="P9"/>
      <c r="Q9"/>
      <c r="R9"/>
    </row>
    <row r="10" spans="1:24" ht="13.8" x14ac:dyDescent="0.25">
      <c r="B10" s="6" t="s">
        <v>65</v>
      </c>
      <c r="C10" s="6" t="s">
        <v>66</v>
      </c>
      <c r="D10" s="6" t="s">
        <v>67</v>
      </c>
      <c r="E10" s="6" t="s">
        <v>68</v>
      </c>
      <c r="F10" s="7" t="s">
        <v>1</v>
      </c>
      <c r="G10" s="6" t="s">
        <v>2</v>
      </c>
      <c r="H10" s="6" t="s">
        <v>3</v>
      </c>
      <c r="I10" s="6" t="s">
        <v>87</v>
      </c>
      <c r="L10" s="6"/>
      <c r="M10" s="6"/>
      <c r="O10" s="114" t="s">
        <v>114</v>
      </c>
      <c r="P10" s="115" t="s">
        <v>96</v>
      </c>
      <c r="Q10" s="115"/>
      <c r="R10" s="116" t="s">
        <v>4</v>
      </c>
      <c r="S10" s="114" t="s">
        <v>5</v>
      </c>
      <c r="T10" s="114" t="s">
        <v>6</v>
      </c>
      <c r="U10" s="114" t="s">
        <v>7</v>
      </c>
      <c r="V10" s="114" t="s">
        <v>8</v>
      </c>
      <c r="W10" s="114" t="s">
        <v>9</v>
      </c>
      <c r="X10" s="117" t="s">
        <v>97</v>
      </c>
    </row>
    <row r="11" spans="1:24" ht="17.399999999999999" x14ac:dyDescent="0.35">
      <c r="A11" s="6" t="s">
        <v>65</v>
      </c>
      <c r="B11" s="8"/>
      <c r="C11" s="9">
        <v>5</v>
      </c>
      <c r="D11" s="9">
        <v>9</v>
      </c>
      <c r="E11" s="9">
        <v>1</v>
      </c>
      <c r="F11" s="10" t="str">
        <f ca="1">IFERROR(CHOOSE((P11=H$32)*1+(P11=I$32)*2+(P11=H$30)*3,"Guld","Sølv","Bronze"),"")</f>
        <v/>
      </c>
      <c r="G11" s="11">
        <f ca="1">COUNTIF(P$17:P$28,$B3)</f>
        <v>3</v>
      </c>
      <c r="H11" s="11">
        <f ca="1">COUNTIF(Q$17:Q$28,$B3)</f>
        <v>3</v>
      </c>
      <c r="I11" s="11">
        <f ca="1">G11+H11</f>
        <v>6</v>
      </c>
      <c r="L11" s="11"/>
      <c r="M11" s="11"/>
      <c r="O11" s="105">
        <v>1</v>
      </c>
      <c r="P11" s="106" t="str">
        <f ca="1" xml:space="preserve">  INDEX(teams,MATCH(rankNum,actRank,0))</f>
        <v>Assens</v>
      </c>
      <c r="Q11" s="106"/>
      <c r="R11" s="113">
        <f t="shared" ref="R11:R14" ca="1" si="10">COUNTIFS(team1,teamName,points1,"&gt;=0")+COUNTIFS(team2,teamName,points2,"&gt;=0")</f>
        <v>6</v>
      </c>
      <c r="S11" s="123">
        <f t="shared" ref="S11:S14" ca="1" si="11">COUNTIFS(team1,teamName,points1,ptv)+COUNTIFS(team2,teamName,points2,ptv)</f>
        <v>4</v>
      </c>
      <c r="T11" s="107">
        <f t="shared" ref="T11:T14" ca="1" si="12">COUNTIFS(team1,teamName,points1,ptu)+COUNTIFS(team2,teamName,points2,ptu)</f>
        <v>0</v>
      </c>
      <c r="U11" s="107">
        <f t="shared" ref="U11:U14" ca="1" si="13">COUNTIFS(team1,teamName,points1,ptt)+COUNTIFS(team2,teamName,points2,ptt)</f>
        <v>2</v>
      </c>
      <c r="V11" s="123">
        <f t="shared" ref="V11:V14" ca="1" si="14">SUMIF(team1,teamName,goals1)+SUMIF(team2,teamName,goals2)</f>
        <v>22</v>
      </c>
      <c r="W11" s="107">
        <f t="shared" ref="W11:W14" ca="1" si="15">SUMIF(team1,teamName,goals2)+SUMIF(team2,teamName,goals1)</f>
        <v>15</v>
      </c>
      <c r="X11" s="124">
        <f t="shared" ref="X11:X14" ca="1" si="16">SUMIFS(points1,team1,teamName)+SUMIFS(points2,team2,teamName)</f>
        <v>12</v>
      </c>
    </row>
    <row r="12" spans="1:24" ht="17.399999999999999" x14ac:dyDescent="0.35">
      <c r="A12" s="6" t="s">
        <v>66</v>
      </c>
      <c r="B12" s="9">
        <v>11</v>
      </c>
      <c r="C12" s="8"/>
      <c r="D12" s="9">
        <v>2</v>
      </c>
      <c r="E12" s="9">
        <v>10</v>
      </c>
      <c r="F12" s="10" t="str">
        <f ca="1">IFERROR(CHOOSE((P12=H$32)*1+(P12=I$32)*2+(P12=H$30)*3,"Guld","Sølv","Bronze"),"")</f>
        <v/>
      </c>
      <c r="G12" s="11">
        <f t="shared" ref="G12:G14" ca="1" si="17">COUNTIF(P$17:P$28,$B4)</f>
        <v>3</v>
      </c>
      <c r="H12" s="11">
        <f t="shared" ref="H12:H14" ca="1" si="18">COUNTIF(Q$17:Q$28,$B4)</f>
        <v>3</v>
      </c>
      <c r="I12" s="11">
        <f t="shared" ref="I12:I14" ca="1" si="19">G12+H12</f>
        <v>6</v>
      </c>
      <c r="L12" s="11"/>
      <c r="M12" s="11"/>
      <c r="O12" s="105">
        <v>2</v>
      </c>
      <c r="P12" s="106" t="str">
        <f t="shared" ref="P12:P14" ca="1" si="20" xml:space="preserve">  INDEX(teams,MATCH(rankNum,actRank,0))</f>
        <v>Dragør</v>
      </c>
      <c r="Q12" s="106"/>
      <c r="R12" s="113">
        <f t="shared" ca="1" si="10"/>
        <v>6</v>
      </c>
      <c r="S12" s="123">
        <f t="shared" ca="1" si="11"/>
        <v>3</v>
      </c>
      <c r="T12" s="107">
        <f t="shared" ca="1" si="12"/>
        <v>1</v>
      </c>
      <c r="U12" s="107">
        <f t="shared" ca="1" si="13"/>
        <v>2</v>
      </c>
      <c r="V12" s="123">
        <f t="shared" ca="1" si="14"/>
        <v>13</v>
      </c>
      <c r="W12" s="107">
        <f t="shared" ca="1" si="15"/>
        <v>11</v>
      </c>
      <c r="X12" s="124">
        <f t="shared" ca="1" si="16"/>
        <v>10</v>
      </c>
    </row>
    <row r="13" spans="1:24" ht="17.399999999999999" x14ac:dyDescent="0.35">
      <c r="A13" s="6" t="s">
        <v>67</v>
      </c>
      <c r="B13" s="9">
        <v>3</v>
      </c>
      <c r="C13" s="9">
        <v>8</v>
      </c>
      <c r="D13" s="8"/>
      <c r="E13" s="9">
        <v>6</v>
      </c>
      <c r="F13" s="10" t="str">
        <f ca="1">IFERROR(CHOOSE((P13=H$32)*1+(P13=I$32)*2+(P13=H$30)*3,"Guld","Sølv","Bronze"),"")</f>
        <v/>
      </c>
      <c r="G13" s="11">
        <f t="shared" ca="1" si="17"/>
        <v>3</v>
      </c>
      <c r="H13" s="11">
        <f t="shared" ca="1" si="18"/>
        <v>3</v>
      </c>
      <c r="I13" s="11">
        <f t="shared" ca="1" si="19"/>
        <v>6</v>
      </c>
      <c r="L13" s="11"/>
      <c r="M13" s="11"/>
      <c r="O13" s="105">
        <v>3</v>
      </c>
      <c r="P13" s="106" t="str">
        <f t="shared" ca="1" si="20"/>
        <v>Christiansfelt</v>
      </c>
      <c r="Q13" s="106"/>
      <c r="R13" s="113">
        <f t="shared" ca="1" si="10"/>
        <v>6</v>
      </c>
      <c r="S13" s="123">
        <f t="shared" ca="1" si="11"/>
        <v>3</v>
      </c>
      <c r="T13" s="107">
        <f t="shared" ca="1" si="12"/>
        <v>1</v>
      </c>
      <c r="U13" s="107">
        <f t="shared" ca="1" si="13"/>
        <v>2</v>
      </c>
      <c r="V13" s="123">
        <f t="shared" ca="1" si="14"/>
        <v>22</v>
      </c>
      <c r="W13" s="107">
        <f t="shared" ca="1" si="15"/>
        <v>21</v>
      </c>
      <c r="X13" s="124">
        <f t="shared" ca="1" si="16"/>
        <v>10</v>
      </c>
    </row>
    <row r="14" spans="1:24" ht="17.399999999999999" x14ac:dyDescent="0.35">
      <c r="A14" s="6" t="s">
        <v>68</v>
      </c>
      <c r="B14" s="9">
        <v>7</v>
      </c>
      <c r="C14" s="9">
        <v>4</v>
      </c>
      <c r="D14" s="9">
        <v>12</v>
      </c>
      <c r="E14" s="8"/>
      <c r="F14" s="10" t="str">
        <f ca="1">IFERROR(CHOOSE((P14=H$32)*1+(P14=I$32)*2+(P14=H$30)*3,"Guld","Sølv","Bronze"),"")</f>
        <v/>
      </c>
      <c r="G14" s="11">
        <f t="shared" ca="1" si="17"/>
        <v>3</v>
      </c>
      <c r="H14" s="11">
        <f t="shared" ca="1" si="18"/>
        <v>3</v>
      </c>
      <c r="I14" s="11">
        <f t="shared" ca="1" si="19"/>
        <v>6</v>
      </c>
      <c r="L14" s="11"/>
      <c r="M14" s="11"/>
      <c r="O14" s="105">
        <v>4</v>
      </c>
      <c r="P14" s="106" t="str">
        <f t="shared" ca="1" si="20"/>
        <v>Bogense</v>
      </c>
      <c r="Q14" s="106"/>
      <c r="R14" s="113">
        <f t="shared" ca="1" si="10"/>
        <v>6</v>
      </c>
      <c r="S14" s="123">
        <f t="shared" ca="1" si="11"/>
        <v>0</v>
      </c>
      <c r="T14" s="107">
        <f t="shared" ca="1" si="12"/>
        <v>2</v>
      </c>
      <c r="U14" s="107">
        <f t="shared" ca="1" si="13"/>
        <v>4</v>
      </c>
      <c r="V14" s="123">
        <f t="shared" ca="1" si="14"/>
        <v>17</v>
      </c>
      <c r="W14" s="107">
        <f t="shared" ca="1" si="15"/>
        <v>27</v>
      </c>
      <c r="X14" s="124">
        <f t="shared" ca="1" si="16"/>
        <v>2</v>
      </c>
    </row>
    <row r="15" spans="1:24" x14ac:dyDescent="0.2">
      <c r="O15"/>
      <c r="P15"/>
      <c r="Q15"/>
      <c r="R15"/>
    </row>
    <row r="16" spans="1:24" s="12" customFormat="1" ht="15" thickBot="1" x14ac:dyDescent="0.35">
      <c r="C16" s="39" t="s">
        <v>16</v>
      </c>
      <c r="D16" s="40" t="s">
        <v>17</v>
      </c>
      <c r="E16" s="55" t="s">
        <v>18</v>
      </c>
      <c r="F16" s="41" t="s">
        <v>19</v>
      </c>
      <c r="G16" s="41" t="s">
        <v>20</v>
      </c>
      <c r="H16" s="41" t="s">
        <v>21</v>
      </c>
      <c r="I16" s="41" t="s">
        <v>22</v>
      </c>
      <c r="J16" s="42" t="s">
        <v>23</v>
      </c>
      <c r="K16" s="43" t="s">
        <v>24</v>
      </c>
      <c r="L16" s="43"/>
      <c r="O16" s="122" t="s">
        <v>4</v>
      </c>
      <c r="P16" s="121" t="s">
        <v>25</v>
      </c>
      <c r="Q16" s="121" t="s">
        <v>26</v>
      </c>
      <c r="R16" s="151" t="s">
        <v>27</v>
      </c>
      <c r="S16" s="151" t="s">
        <v>28</v>
      </c>
      <c r="T16" s="151" t="s">
        <v>29</v>
      </c>
      <c r="U16" s="152" t="s">
        <v>30</v>
      </c>
      <c r="V16" s="152" t="s">
        <v>30</v>
      </c>
      <c r="W16" s="120" t="s">
        <v>31</v>
      </c>
      <c r="X16" s="120" t="s">
        <v>31</v>
      </c>
    </row>
    <row r="17" spans="1:24" ht="17.399999999999999" x14ac:dyDescent="0.35">
      <c r="A17" s="13"/>
      <c r="B17" s="14"/>
      <c r="C17" s="44" t="s">
        <v>75</v>
      </c>
      <c r="D17" s="45"/>
      <c r="E17" s="44">
        <v>1</v>
      </c>
      <c r="F17" s="46">
        <f t="shared" ref="F17:F28" si="21">SUMPRODUCT((HxA=$E17)*(COLUMN(HxA)))-COLUMN(HxA)+1</f>
        <v>5</v>
      </c>
      <c r="G17" s="46">
        <f t="shared" ref="G17:G28" si="22">SUMPRODUCT((HxA=$E17)*(ROW(HxA)))-ROW(HxA)+1</f>
        <v>2</v>
      </c>
      <c r="H17" s="47" t="str">
        <f t="shared" ref="H17:H28" si="23">INDEX(HxA,G17,1)</f>
        <v>T_01</v>
      </c>
      <c r="I17" s="47" t="str">
        <f t="shared" ref="I17:I28" si="24">INDEX(HxA,1,F17)</f>
        <v>T_04</v>
      </c>
      <c r="J17" s="48"/>
      <c r="K17" s="49">
        <v>43832</v>
      </c>
      <c r="L17" s="65"/>
      <c r="O17" s="108">
        <v>1</v>
      </c>
      <c r="P17" s="108" t="str">
        <f t="shared" ref="P17:Q28" ca="1" si="25">INDIRECT(H17)</f>
        <v>Assens</v>
      </c>
      <c r="Q17" s="108" t="str">
        <f t="shared" ca="1" si="25"/>
        <v>Dragør</v>
      </c>
      <c r="R17" s="133">
        <v>43832</v>
      </c>
      <c r="S17" s="134" t="s">
        <v>32</v>
      </c>
      <c r="T17" s="135">
        <v>1</v>
      </c>
      <c r="U17" s="136">
        <v>0</v>
      </c>
      <c r="V17" s="137">
        <v>4</v>
      </c>
      <c r="W17" s="107">
        <f t="shared" ref="W17:W28" si="26">IF(ISNUMBER(U17)*ISNUMBER(V17),IF(U17&gt;V17,ptv, IF(U17=V17,ptu,ptt)),"-")</f>
        <v>0</v>
      </c>
      <c r="X17" s="107">
        <f t="shared" ref="X17:X28" si="27">IF(ISNUMBER(U17)*ISNUMBER(V17),IF(W17=ptv,ptt,IF(W17=ptu,ptu,ptv)),"-")</f>
        <v>3</v>
      </c>
    </row>
    <row r="18" spans="1:24" ht="18" thickBot="1" x14ac:dyDescent="0.4">
      <c r="A18" s="13"/>
      <c r="B18" s="14"/>
      <c r="C18" s="61" t="s">
        <v>73</v>
      </c>
      <c r="D18" s="60">
        <f>OR(H18=H17,H18=I17,I18=H17,I18=I17)*1</f>
        <v>0</v>
      </c>
      <c r="E18" s="61">
        <v>2</v>
      </c>
      <c r="F18" s="62">
        <f t="shared" si="21"/>
        <v>4</v>
      </c>
      <c r="G18" s="62">
        <f t="shared" si="22"/>
        <v>3</v>
      </c>
      <c r="H18" s="63" t="str">
        <f t="shared" si="23"/>
        <v>T_02</v>
      </c>
      <c r="I18" s="63" t="str">
        <f t="shared" si="24"/>
        <v>T_03</v>
      </c>
      <c r="J18" s="63">
        <v>0</v>
      </c>
      <c r="K18" s="64">
        <f>$K$17+J18</f>
        <v>43832</v>
      </c>
      <c r="L18" s="65"/>
      <c r="O18" s="110">
        <v>2</v>
      </c>
      <c r="P18" s="110" t="str">
        <f t="shared" ca="1" si="25"/>
        <v>Bogense</v>
      </c>
      <c r="Q18" s="110" t="str">
        <f t="shared" ca="1" si="25"/>
        <v>Christiansfelt</v>
      </c>
      <c r="R18" s="119">
        <v>43832</v>
      </c>
      <c r="S18" s="111" t="str">
        <f>IFERROR(S17+mMin,"-")</f>
        <v>-</v>
      </c>
      <c r="T18" s="129">
        <v>2</v>
      </c>
      <c r="U18" s="130">
        <v>5</v>
      </c>
      <c r="V18" s="131">
        <v>5</v>
      </c>
      <c r="W18" s="112">
        <f t="shared" si="26"/>
        <v>1</v>
      </c>
      <c r="X18" s="112">
        <f t="shared" si="27"/>
        <v>1</v>
      </c>
    </row>
    <row r="19" spans="1:24" ht="17.399999999999999" x14ac:dyDescent="0.35">
      <c r="A19" s="13"/>
      <c r="B19" s="14"/>
      <c r="C19" s="57" t="s">
        <v>77</v>
      </c>
      <c r="D19" s="56">
        <f t="shared" ref="D19:D28" si="28">OR(H19=H18,H19=I18,I19=H18,I19=I18)*1</f>
        <v>1</v>
      </c>
      <c r="E19" s="57">
        <v>3</v>
      </c>
      <c r="F19" s="45">
        <f t="shared" si="21"/>
        <v>2</v>
      </c>
      <c r="G19" s="45">
        <f t="shared" si="22"/>
        <v>4</v>
      </c>
      <c r="H19" s="58" t="str">
        <f t="shared" si="23"/>
        <v>T_03</v>
      </c>
      <c r="I19" s="58" t="str">
        <f t="shared" si="24"/>
        <v>T_01</v>
      </c>
      <c r="J19" s="58">
        <v>0</v>
      </c>
      <c r="K19" s="59">
        <f t="shared" ref="K19:K32" si="29">$K$17+J19</f>
        <v>43832</v>
      </c>
      <c r="L19" s="65"/>
      <c r="O19" s="132">
        <v>3</v>
      </c>
      <c r="P19" s="132" t="str">
        <f t="shared" ca="1" si="25"/>
        <v>Christiansfelt</v>
      </c>
      <c r="Q19" s="132" t="str">
        <f t="shared" ca="1" si="25"/>
        <v>Assens</v>
      </c>
      <c r="R19" s="133">
        <v>43832</v>
      </c>
      <c r="S19" s="134" t="s">
        <v>32</v>
      </c>
      <c r="T19" s="135">
        <v>1</v>
      </c>
      <c r="U19" s="136">
        <v>3</v>
      </c>
      <c r="V19" s="137">
        <v>5</v>
      </c>
      <c r="W19" s="138">
        <f t="shared" si="26"/>
        <v>0</v>
      </c>
      <c r="X19" s="138">
        <f t="shared" si="27"/>
        <v>3</v>
      </c>
    </row>
    <row r="20" spans="1:24" ht="18" thickBot="1" x14ac:dyDescent="0.4">
      <c r="A20" s="13"/>
      <c r="B20" s="14"/>
      <c r="C20" s="61" t="s">
        <v>78</v>
      </c>
      <c r="D20" s="60">
        <f t="shared" si="28"/>
        <v>0</v>
      </c>
      <c r="E20" s="61">
        <v>4</v>
      </c>
      <c r="F20" s="62">
        <f t="shared" si="21"/>
        <v>3</v>
      </c>
      <c r="G20" s="62">
        <f t="shared" si="22"/>
        <v>5</v>
      </c>
      <c r="H20" s="63" t="str">
        <f t="shared" si="23"/>
        <v>T_04</v>
      </c>
      <c r="I20" s="63" t="str">
        <f t="shared" si="24"/>
        <v>T_02</v>
      </c>
      <c r="J20" s="63">
        <v>1</v>
      </c>
      <c r="K20" s="64">
        <f t="shared" si="29"/>
        <v>43833</v>
      </c>
      <c r="L20" s="65"/>
      <c r="O20" s="110">
        <v>4</v>
      </c>
      <c r="P20" s="110" t="str">
        <f t="shared" ca="1" si="25"/>
        <v>Dragør</v>
      </c>
      <c r="Q20" s="110" t="str">
        <f t="shared" ca="1" si="25"/>
        <v>Bogense</v>
      </c>
      <c r="R20" s="119">
        <v>43833</v>
      </c>
      <c r="S20" s="111" t="str">
        <f>IFERROR(S19+mMin,"-")</f>
        <v>-</v>
      </c>
      <c r="T20" s="129">
        <v>2</v>
      </c>
      <c r="U20" s="130">
        <v>4</v>
      </c>
      <c r="V20" s="131">
        <v>2</v>
      </c>
      <c r="W20" s="112">
        <f t="shared" si="26"/>
        <v>3</v>
      </c>
      <c r="X20" s="112">
        <f t="shared" si="27"/>
        <v>0</v>
      </c>
    </row>
    <row r="21" spans="1:24" ht="17.399999999999999" x14ac:dyDescent="0.35">
      <c r="A21" s="13"/>
      <c r="B21" s="14"/>
      <c r="C21" s="57" t="s">
        <v>79</v>
      </c>
      <c r="D21" s="56">
        <f t="shared" si="28"/>
        <v>1</v>
      </c>
      <c r="E21" s="57">
        <v>5</v>
      </c>
      <c r="F21" s="45">
        <f t="shared" si="21"/>
        <v>3</v>
      </c>
      <c r="G21" s="45">
        <f t="shared" si="22"/>
        <v>2</v>
      </c>
      <c r="H21" s="58" t="str">
        <f t="shared" si="23"/>
        <v>T_01</v>
      </c>
      <c r="I21" s="58" t="str">
        <f t="shared" si="24"/>
        <v>T_02</v>
      </c>
      <c r="J21" s="58">
        <v>1</v>
      </c>
      <c r="K21" s="59">
        <f t="shared" si="29"/>
        <v>43833</v>
      </c>
      <c r="L21" s="65"/>
      <c r="O21" s="132">
        <v>5</v>
      </c>
      <c r="P21" s="132" t="str">
        <f t="shared" ca="1" si="25"/>
        <v>Assens</v>
      </c>
      <c r="Q21" s="132" t="str">
        <f t="shared" ca="1" si="25"/>
        <v>Bogense</v>
      </c>
      <c r="R21" s="133">
        <v>43833</v>
      </c>
      <c r="S21" s="134" t="s">
        <v>32</v>
      </c>
      <c r="T21" s="135">
        <v>1</v>
      </c>
      <c r="U21" s="136">
        <v>5</v>
      </c>
      <c r="V21" s="137">
        <v>3</v>
      </c>
      <c r="W21" s="138">
        <f t="shared" si="26"/>
        <v>3</v>
      </c>
      <c r="X21" s="138">
        <f t="shared" si="27"/>
        <v>0</v>
      </c>
    </row>
    <row r="22" spans="1:24" ht="18" thickBot="1" x14ac:dyDescent="0.4">
      <c r="A22" s="13"/>
      <c r="B22" s="14"/>
      <c r="C22" s="61" t="s">
        <v>72</v>
      </c>
      <c r="D22" s="60">
        <f t="shared" si="28"/>
        <v>0</v>
      </c>
      <c r="E22" s="61">
        <v>6</v>
      </c>
      <c r="F22" s="62">
        <f t="shared" si="21"/>
        <v>5</v>
      </c>
      <c r="G22" s="62">
        <f t="shared" si="22"/>
        <v>4</v>
      </c>
      <c r="H22" s="63" t="str">
        <f t="shared" si="23"/>
        <v>T_03</v>
      </c>
      <c r="I22" s="63" t="str">
        <f t="shared" si="24"/>
        <v>T_04</v>
      </c>
      <c r="J22" s="63">
        <v>1</v>
      </c>
      <c r="K22" s="64">
        <f t="shared" si="29"/>
        <v>43833</v>
      </c>
      <c r="L22" s="65"/>
      <c r="O22" s="139">
        <v>6</v>
      </c>
      <c r="P22" s="139" t="str">
        <f t="shared" ca="1" si="25"/>
        <v>Christiansfelt</v>
      </c>
      <c r="Q22" s="139" t="str">
        <f t="shared" ca="1" si="25"/>
        <v>Dragør</v>
      </c>
      <c r="R22" s="140">
        <v>43833</v>
      </c>
      <c r="S22" s="141" t="str">
        <f>IFERROR(S21+mMin,"-")</f>
        <v>-</v>
      </c>
      <c r="T22" s="142">
        <v>2</v>
      </c>
      <c r="U22" s="143">
        <v>0</v>
      </c>
      <c r="V22" s="144">
        <v>3</v>
      </c>
      <c r="W22" s="145">
        <f t="shared" si="26"/>
        <v>0</v>
      </c>
      <c r="X22" s="145">
        <f t="shared" si="27"/>
        <v>3</v>
      </c>
    </row>
    <row r="23" spans="1:24" ht="17.399999999999999" x14ac:dyDescent="0.35">
      <c r="A23" s="13"/>
      <c r="B23" s="14"/>
      <c r="C23" s="57" t="s">
        <v>82</v>
      </c>
      <c r="D23" s="56">
        <f t="shared" si="28"/>
        <v>1</v>
      </c>
      <c r="E23" s="57">
        <v>7</v>
      </c>
      <c r="F23" s="45">
        <f t="shared" si="21"/>
        <v>2</v>
      </c>
      <c r="G23" s="45">
        <f t="shared" si="22"/>
        <v>5</v>
      </c>
      <c r="H23" s="58" t="str">
        <f t="shared" si="23"/>
        <v>T_04</v>
      </c>
      <c r="I23" s="58" t="str">
        <f t="shared" si="24"/>
        <v>T_01</v>
      </c>
      <c r="J23" s="58">
        <v>2</v>
      </c>
      <c r="K23" s="59">
        <f t="shared" si="29"/>
        <v>43834</v>
      </c>
      <c r="L23" s="65"/>
      <c r="O23" s="132">
        <v>7</v>
      </c>
      <c r="P23" s="132" t="str">
        <f t="shared" ca="1" si="25"/>
        <v>Dragør</v>
      </c>
      <c r="Q23" s="132" t="str">
        <f t="shared" ca="1" si="25"/>
        <v>Assens</v>
      </c>
      <c r="R23" s="133">
        <v>43834</v>
      </c>
      <c r="S23" s="134" t="s">
        <v>32</v>
      </c>
      <c r="T23" s="135">
        <v>1</v>
      </c>
      <c r="U23" s="136">
        <v>0</v>
      </c>
      <c r="V23" s="137">
        <v>4</v>
      </c>
      <c r="W23" s="138">
        <f t="shared" si="26"/>
        <v>0</v>
      </c>
      <c r="X23" s="138">
        <f t="shared" si="27"/>
        <v>3</v>
      </c>
    </row>
    <row r="24" spans="1:24" ht="18" thickBot="1" x14ac:dyDescent="0.4">
      <c r="A24" s="13"/>
      <c r="B24" s="14"/>
      <c r="C24" s="61" t="s">
        <v>81</v>
      </c>
      <c r="D24" s="60">
        <f t="shared" si="28"/>
        <v>0</v>
      </c>
      <c r="E24" s="61">
        <v>8</v>
      </c>
      <c r="F24" s="62">
        <f t="shared" si="21"/>
        <v>3</v>
      </c>
      <c r="G24" s="62">
        <f t="shared" si="22"/>
        <v>4</v>
      </c>
      <c r="H24" s="63" t="str">
        <f t="shared" si="23"/>
        <v>T_03</v>
      </c>
      <c r="I24" s="63" t="str">
        <f t="shared" si="24"/>
        <v>T_02</v>
      </c>
      <c r="J24" s="63">
        <v>2</v>
      </c>
      <c r="K24" s="64">
        <f t="shared" si="29"/>
        <v>43834</v>
      </c>
      <c r="L24" s="65"/>
      <c r="O24" s="110">
        <v>8</v>
      </c>
      <c r="P24" s="110" t="str">
        <f t="shared" ca="1" si="25"/>
        <v>Christiansfelt</v>
      </c>
      <c r="Q24" s="110" t="str">
        <f t="shared" ca="1" si="25"/>
        <v>Bogense</v>
      </c>
      <c r="R24" s="119">
        <v>43834</v>
      </c>
      <c r="S24" s="111" t="str">
        <f>IFERROR(S23+mMin,"-")</f>
        <v>-</v>
      </c>
      <c r="T24" s="129">
        <v>2</v>
      </c>
      <c r="U24" s="130">
        <v>6</v>
      </c>
      <c r="V24" s="131">
        <v>5</v>
      </c>
      <c r="W24" s="112">
        <f t="shared" si="26"/>
        <v>3</v>
      </c>
      <c r="X24" s="112">
        <f t="shared" si="27"/>
        <v>0</v>
      </c>
    </row>
    <row r="25" spans="1:24" ht="17.399999999999999" x14ac:dyDescent="0.35">
      <c r="A25" s="13"/>
      <c r="B25" s="14"/>
      <c r="C25" s="57" t="s">
        <v>83</v>
      </c>
      <c r="D25" s="56">
        <f t="shared" si="28"/>
        <v>1</v>
      </c>
      <c r="E25" s="57">
        <v>9</v>
      </c>
      <c r="F25" s="45">
        <f t="shared" si="21"/>
        <v>4</v>
      </c>
      <c r="G25" s="45">
        <f t="shared" si="22"/>
        <v>2</v>
      </c>
      <c r="H25" s="58" t="str">
        <f t="shared" si="23"/>
        <v>T_01</v>
      </c>
      <c r="I25" s="58" t="str">
        <f t="shared" si="24"/>
        <v>T_03</v>
      </c>
      <c r="J25" s="58">
        <v>2</v>
      </c>
      <c r="K25" s="59">
        <f t="shared" si="29"/>
        <v>43834</v>
      </c>
      <c r="L25" s="65"/>
      <c r="O25" s="132">
        <v>9</v>
      </c>
      <c r="P25" s="132" t="str">
        <f t="shared" ca="1" si="25"/>
        <v>Assens</v>
      </c>
      <c r="Q25" s="132" t="str">
        <f t="shared" ca="1" si="25"/>
        <v>Christiansfelt</v>
      </c>
      <c r="R25" s="133">
        <v>43834</v>
      </c>
      <c r="S25" s="134" t="s">
        <v>32</v>
      </c>
      <c r="T25" s="135">
        <v>1</v>
      </c>
      <c r="U25" s="136">
        <v>3</v>
      </c>
      <c r="V25" s="137">
        <v>5</v>
      </c>
      <c r="W25" s="138">
        <f t="shared" si="26"/>
        <v>0</v>
      </c>
      <c r="X25" s="138">
        <f t="shared" si="27"/>
        <v>3</v>
      </c>
    </row>
    <row r="26" spans="1:24" ht="18" thickBot="1" x14ac:dyDescent="0.4">
      <c r="A26" s="13"/>
      <c r="B26" s="14"/>
      <c r="C26" s="61" t="s">
        <v>84</v>
      </c>
      <c r="D26" s="60">
        <f t="shared" si="28"/>
        <v>0</v>
      </c>
      <c r="E26" s="61">
        <v>10</v>
      </c>
      <c r="F26" s="62">
        <f t="shared" si="21"/>
        <v>5</v>
      </c>
      <c r="G26" s="62">
        <f t="shared" si="22"/>
        <v>3</v>
      </c>
      <c r="H26" s="63" t="str">
        <f t="shared" si="23"/>
        <v>T_02</v>
      </c>
      <c r="I26" s="63" t="str">
        <f t="shared" si="24"/>
        <v>T_04</v>
      </c>
      <c r="J26" s="63">
        <v>3</v>
      </c>
      <c r="K26" s="64">
        <f t="shared" si="29"/>
        <v>43835</v>
      </c>
      <c r="L26" s="65"/>
      <c r="O26" s="110">
        <v>10</v>
      </c>
      <c r="P26" s="110" t="str">
        <f t="shared" ca="1" si="25"/>
        <v>Bogense</v>
      </c>
      <c r="Q26" s="110" t="str">
        <f t="shared" ca="1" si="25"/>
        <v>Dragør</v>
      </c>
      <c r="R26" s="119">
        <v>43835</v>
      </c>
      <c r="S26" s="111" t="str">
        <f>IFERROR(S25+mMin,"-")</f>
        <v>-</v>
      </c>
      <c r="T26" s="129">
        <v>2</v>
      </c>
      <c r="U26" s="130">
        <v>2</v>
      </c>
      <c r="V26" s="131">
        <v>2</v>
      </c>
      <c r="W26" s="112">
        <f t="shared" si="26"/>
        <v>1</v>
      </c>
      <c r="X26" s="112">
        <f t="shared" si="27"/>
        <v>1</v>
      </c>
    </row>
    <row r="27" spans="1:24" ht="17.399999999999999" x14ac:dyDescent="0.35">
      <c r="A27" s="13"/>
      <c r="B27" s="14"/>
      <c r="C27" s="57" t="s">
        <v>85</v>
      </c>
      <c r="D27" s="56">
        <f t="shared" si="28"/>
        <v>1</v>
      </c>
      <c r="E27" s="57">
        <v>11</v>
      </c>
      <c r="F27" s="45">
        <f t="shared" si="21"/>
        <v>2</v>
      </c>
      <c r="G27" s="45">
        <f t="shared" si="22"/>
        <v>3</v>
      </c>
      <c r="H27" s="58" t="str">
        <f t="shared" si="23"/>
        <v>T_02</v>
      </c>
      <c r="I27" s="58" t="str">
        <f t="shared" si="24"/>
        <v>T_01</v>
      </c>
      <c r="J27" s="58">
        <v>3</v>
      </c>
      <c r="K27" s="59">
        <f t="shared" si="29"/>
        <v>43835</v>
      </c>
      <c r="L27" s="65"/>
      <c r="O27" s="132">
        <v>11</v>
      </c>
      <c r="P27" s="132" t="str">
        <f t="shared" ca="1" si="25"/>
        <v>Bogense</v>
      </c>
      <c r="Q27" s="132" t="str">
        <f t="shared" ca="1" si="25"/>
        <v>Assens</v>
      </c>
      <c r="R27" s="133">
        <v>43835</v>
      </c>
      <c r="S27" s="134" t="s">
        <v>32</v>
      </c>
      <c r="T27" s="135">
        <v>1</v>
      </c>
      <c r="U27" s="136">
        <v>0</v>
      </c>
      <c r="V27" s="137">
        <v>5</v>
      </c>
      <c r="W27" s="138">
        <f t="shared" si="26"/>
        <v>0</v>
      </c>
      <c r="X27" s="138">
        <f t="shared" si="27"/>
        <v>3</v>
      </c>
    </row>
    <row r="28" spans="1:24" ht="18" thickBot="1" x14ac:dyDescent="0.4">
      <c r="A28" s="13"/>
      <c r="B28" s="14"/>
      <c r="C28" s="61" t="s">
        <v>80</v>
      </c>
      <c r="D28" s="60">
        <f t="shared" si="28"/>
        <v>0</v>
      </c>
      <c r="E28" s="61">
        <v>12</v>
      </c>
      <c r="F28" s="62">
        <f t="shared" si="21"/>
        <v>4</v>
      </c>
      <c r="G28" s="62">
        <f t="shared" si="22"/>
        <v>5</v>
      </c>
      <c r="H28" s="63" t="str">
        <f t="shared" si="23"/>
        <v>T_04</v>
      </c>
      <c r="I28" s="63" t="str">
        <f t="shared" si="24"/>
        <v>T_03</v>
      </c>
      <c r="J28" s="63">
        <v>3</v>
      </c>
      <c r="K28" s="64">
        <f t="shared" si="29"/>
        <v>43835</v>
      </c>
      <c r="L28" s="65"/>
      <c r="O28" s="110">
        <v>12</v>
      </c>
      <c r="P28" s="110" t="str">
        <f t="shared" ca="1" si="25"/>
        <v>Dragør</v>
      </c>
      <c r="Q28" s="110" t="str">
        <f t="shared" ca="1" si="25"/>
        <v>Christiansfelt</v>
      </c>
      <c r="R28" s="119">
        <v>43835</v>
      </c>
      <c r="S28" s="111" t="str">
        <f>IFERROR(S27+mMin,"-")</f>
        <v>-</v>
      </c>
      <c r="T28" s="129">
        <v>2</v>
      </c>
      <c r="U28" s="130">
        <v>0</v>
      </c>
      <c r="V28" s="131">
        <v>3</v>
      </c>
      <c r="W28" s="112">
        <f t="shared" si="26"/>
        <v>0</v>
      </c>
      <c r="X28" s="112">
        <f t="shared" si="27"/>
        <v>3</v>
      </c>
    </row>
    <row r="29" spans="1:24" ht="18" thickBot="1" x14ac:dyDescent="0.4">
      <c r="H29" s="19" t="s">
        <v>33</v>
      </c>
      <c r="I29" s="19" t="s">
        <v>34</v>
      </c>
      <c r="J29" s="15"/>
      <c r="K29" s="17"/>
      <c r="L29" s="65"/>
      <c r="P29" s="79"/>
      <c r="Q29" s="79"/>
      <c r="R29" s="79"/>
      <c r="S29" s="5"/>
      <c r="T29" s="5"/>
      <c r="U29" s="16"/>
      <c r="V29" s="156"/>
    </row>
    <row r="30" spans="1:24" ht="18" thickBot="1" x14ac:dyDescent="0.4">
      <c r="H30" s="20" t="str">
        <f>IF(ISNUMBER(U30),IF(U30&gt;V30,P30,Q30),"")</f>
        <v/>
      </c>
      <c r="I30" s="20" t="str">
        <f>IF(ISNUMBER(U30),IF(H30=P30,Q30,P30),"")</f>
        <v/>
      </c>
      <c r="J30" s="15">
        <v>10</v>
      </c>
      <c r="K30" s="17">
        <f t="shared" si="29"/>
        <v>43842</v>
      </c>
      <c r="L30" s="65"/>
      <c r="O30" s="76" t="s">
        <v>63</v>
      </c>
      <c r="P30" s="77"/>
      <c r="Q30" s="77"/>
      <c r="R30" s="146">
        <v>41660</v>
      </c>
      <c r="S30" s="147">
        <v>0.54166666666666663</v>
      </c>
      <c r="T30" s="148">
        <v>2</v>
      </c>
      <c r="U30" s="149"/>
      <c r="V30" s="150"/>
      <c r="W30" s="21" t="str">
        <f t="shared" ref="W30" si="30">IF(ISNUMBER(U30)*ISNUMBER(V30),IF(U30&gt;V30,ptv, IF(U30=V30,ptu,ptt)),"-")</f>
        <v>-</v>
      </c>
      <c r="X30" s="21" t="str">
        <f t="shared" ref="X30" si="31">IF(ISNUMBER(U30)*ISNUMBER(V30),IF(W30=ptv,ptt,IF(W30=ptu,ptu,ptv)),"-")</f>
        <v>-</v>
      </c>
    </row>
    <row r="31" spans="1:24" ht="15" thickBot="1" x14ac:dyDescent="0.25">
      <c r="H31" s="19" t="s">
        <v>35</v>
      </c>
      <c r="I31" s="19" t="s">
        <v>36</v>
      </c>
      <c r="J31" s="15"/>
      <c r="K31" s="17"/>
      <c r="L31" s="65"/>
      <c r="P31" s="79"/>
      <c r="Q31" s="79"/>
      <c r="R31" s="79"/>
      <c r="S31" s="5"/>
      <c r="T31" s="5"/>
      <c r="U31" s="5"/>
      <c r="V31" s="80"/>
    </row>
    <row r="32" spans="1:24" ht="18" thickBot="1" x14ac:dyDescent="0.4">
      <c r="H32" s="20" t="str">
        <f>IF(ISNUMBER(U32),IF(U32&gt;V32,P32,Q32),"")</f>
        <v/>
      </c>
      <c r="I32" s="20" t="str">
        <f>IF(ISNUMBER(U32),IF(H32=P32,Q32,P32),"")</f>
        <v/>
      </c>
      <c r="J32" s="15">
        <v>11</v>
      </c>
      <c r="K32" s="17">
        <f t="shared" si="29"/>
        <v>43843</v>
      </c>
      <c r="L32" s="65"/>
      <c r="O32" s="75" t="s">
        <v>95</v>
      </c>
      <c r="P32" s="77"/>
      <c r="Q32" s="77"/>
      <c r="R32" s="146">
        <v>41661</v>
      </c>
      <c r="S32" s="147">
        <v>0.54166666666666663</v>
      </c>
      <c r="T32" s="148">
        <v>2</v>
      </c>
      <c r="U32" s="149"/>
      <c r="V32" s="150"/>
      <c r="W32" s="21" t="str">
        <f t="shared" ref="W32" si="32">IF(ISNUMBER(U32)*ISNUMBER(V32),IF(U32&gt;V32,ptv, IF(U32=V32,ptu,ptt)),"-")</f>
        <v>-</v>
      </c>
      <c r="X32" s="21" t="str">
        <f t="shared" ref="X32" si="33">IF(ISNUMBER(U32)*ISNUMBER(V32),IF(W32=ptv,ptt,IF(W32=ptu,ptu,ptv)),"-")</f>
        <v>-</v>
      </c>
    </row>
    <row r="33" spans="12:12" ht="14.4" x14ac:dyDescent="0.2">
      <c r="L33" s="65"/>
    </row>
  </sheetData>
  <sheetProtection sheet="1" objects="1" scenarios="1"/>
  <conditionalFormatting sqref="D19">
    <cfRule type="expression" dxfId="15" priority="4">
      <formula>D19=1</formula>
    </cfRule>
  </conditionalFormatting>
  <conditionalFormatting sqref="D18:D19">
    <cfRule type="expression" dxfId="14" priority="6">
      <formula>D18=1</formula>
    </cfRule>
  </conditionalFormatting>
  <conditionalFormatting sqref="L3:L6">
    <cfRule type="duplicateValues" dxfId="13" priority="44"/>
  </conditionalFormatting>
  <conditionalFormatting sqref="M3:M6">
    <cfRule type="duplicateValues" dxfId="12" priority="45"/>
  </conditionalFormatting>
  <conditionalFormatting sqref="B11:E14">
    <cfRule type="duplicateValues" dxfId="11" priority="48"/>
    <cfRule type="expression" dxfId="10" priority="49">
      <formula>AND(B11&lt;=$E$8,ISNUMBER(B11))</formula>
    </cfRule>
  </conditionalFormatting>
  <conditionalFormatting sqref="D20">
    <cfRule type="expression" dxfId="9" priority="5">
      <formula>D20=1</formula>
    </cfRule>
  </conditionalFormatting>
  <conditionalFormatting sqref="D21 D23 D25 D27">
    <cfRule type="expression" dxfId="8" priority="3">
      <formula>D21=1</formula>
    </cfRule>
  </conditionalFormatting>
  <conditionalFormatting sqref="D22 D24 D26 D28">
    <cfRule type="expression" dxfId="7" priority="2">
      <formula>D22=1</formula>
    </cfRule>
  </conditionalFormatting>
  <conditionalFormatting sqref="D21 D23 D25 D27">
    <cfRule type="expression" dxfId="6" priority="1">
      <formula>D21=1</formula>
    </cfRule>
  </conditionalFormatting>
  <dataValidations disablePrompts="1" count="1">
    <dataValidation type="list" allowBlank="1" showInputMessage="1" showErrorMessage="1" sqref="P30:Q30 P32:Q32" xr:uid="{EC3B80A0-881A-45B6-8C46-8AB3EA7D49FD}">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0DAD-B2E5-40C8-98B5-295B81AED99C}">
  <sheetPr codeName="grp05x1">
    <tabColor rgb="FFFFC000"/>
    <outlinePr showOutlineSymbols="0"/>
    <pageSetUpPr fitToPage="1"/>
  </sheetPr>
  <dimension ref="A1:X33"/>
  <sheetViews>
    <sheetView showGridLines="0" showRowColHeaders="0" showOutlineSymbols="0" zoomScaleNormal="100" zoomScaleSheetLayoutView="100" workbookViewId="0">
      <pane ySplit="18" topLeftCell="A19" activePane="bottomLeft" state="frozen"/>
      <selection activeCell="L43" sqref="L43"/>
      <selection pane="bottomLeft" activeCell="P19" sqref="P19"/>
    </sheetView>
  </sheetViews>
  <sheetFormatPr defaultColWidth="9" defaultRowHeight="12.6" outlineLevelRow="1" outlineLevelCol="1" x14ac:dyDescent="0.2"/>
  <cols>
    <col min="1" max="7" width="0" hidden="1" customWidth="1" outlineLevel="1"/>
    <col min="8" max="9" width="5.6328125" hidden="1" customWidth="1" outlineLevel="1"/>
    <col min="10" max="10" width="3.6328125" hidden="1" customWidth="1" outlineLevel="1"/>
    <col min="11" max="11" width="9.26953125" hidden="1" customWidth="1" outlineLevel="1"/>
    <col min="12" max="12" width="6.453125" hidden="1" customWidth="1" outlineLevel="1"/>
    <col min="13" max="13" width="4.6328125" hidden="1" customWidth="1" outlineLevel="1"/>
    <col min="14" max="14" width="3.6328125" customWidth="1" collapsed="1"/>
    <col min="15" max="15" width="6" style="13" customWidth="1"/>
    <col min="16" max="17" width="24.6328125" style="13" customWidth="1"/>
    <col min="18" max="18" width="10" style="13" customWidth="1"/>
    <col min="19" max="19" width="8.6328125" customWidth="1"/>
    <col min="20" max="20" width="8.453125" customWidth="1"/>
    <col min="21" max="24" width="7.6328125" customWidth="1"/>
  </cols>
  <sheetData>
    <row r="1" spans="1:24" hidden="1" outlineLevel="1" x14ac:dyDescent="0.2">
      <c r="A1" t="s">
        <v>116</v>
      </c>
      <c r="C1" t="s">
        <v>99</v>
      </c>
      <c r="G1" t="s">
        <v>106</v>
      </c>
      <c r="L1" t="s">
        <v>112</v>
      </c>
    </row>
    <row r="2" spans="1:24" ht="13.8" hidden="1" outlineLevel="1" x14ac:dyDescent="0.3">
      <c r="A2" s="3" t="s">
        <v>105</v>
      </c>
      <c r="B2" s="3" t="s">
        <v>100</v>
      </c>
      <c r="C2" s="81" t="s">
        <v>8</v>
      </c>
      <c r="D2" s="81" t="s">
        <v>9</v>
      </c>
      <c r="E2" s="35" t="s">
        <v>97</v>
      </c>
      <c r="F2" s="81" t="s">
        <v>98</v>
      </c>
      <c r="G2" s="81" t="s">
        <v>86</v>
      </c>
      <c r="H2" s="87" t="s">
        <v>86</v>
      </c>
      <c r="I2" s="87" t="s">
        <v>102</v>
      </c>
      <c r="J2" s="87" t="s">
        <v>103</v>
      </c>
      <c r="K2" s="87" t="s">
        <v>104</v>
      </c>
      <c r="L2" s="88" t="s">
        <v>87</v>
      </c>
      <c r="M2" s="86" t="s">
        <v>101</v>
      </c>
    </row>
    <row r="3" spans="1:24" hidden="1" outlineLevel="1" x14ac:dyDescent="0.2">
      <c r="A3" s="89">
        <v>1</v>
      </c>
      <c r="B3" s="89" t="str">
        <f t="shared" ref="B3:B7" si="0">INDEX(xTeams,A3,1)</f>
        <v>Assens</v>
      </c>
      <c r="C3" s="82">
        <f t="shared" ref="C3" ca="1" si="1">SUMIF(team1,teams,goals1)+SUMIF(team2,teams,goals2)</f>
        <v>14</v>
      </c>
      <c r="D3" s="82">
        <f t="shared" ref="D3" ca="1" si="2">SUMIF(team1,teams,goals2)+SUMIF(team2,teams,goals1)</f>
        <v>15</v>
      </c>
      <c r="E3" s="90">
        <f t="shared" ref="E3:E7" ca="1" si="3">SUMIFS(
   points1,team1,teams
) +
  SUMIFS(points2,team2,teams)</f>
        <v>6</v>
      </c>
      <c r="F3" s="82">
        <f t="shared" ref="F3:F7" ca="1" si="4">C3-D3</f>
        <v>-1</v>
      </c>
      <c r="G3" s="82">
        <f t="shared" ref="G3:G7" ca="1" si="5">COUNTIFS(team1,$B3,points1,"&gt;=0")+COUNTIFS(team2,$B3,points2,"&gt;=0")</f>
        <v>4</v>
      </c>
      <c r="H3" s="91">
        <f ca="1">IF(G3=0,1,0)</f>
        <v>0</v>
      </c>
      <c r="I3" s="91">
        <f ca="1">RANK($E3,$E$3:$E$7,0)</f>
        <v>2</v>
      </c>
      <c r="J3" s="84">
        <f ca="1">RANK($F3,$F$3:$F$7,0)/10</f>
        <v>0.3</v>
      </c>
      <c r="K3" s="85">
        <f ca="1">RANK($C3,$C$3:$C$7,0)/100</f>
        <v>0.02</v>
      </c>
      <c r="L3" s="85">
        <f ca="1">SUM(H3:K3)</f>
        <v>2.3199999999999998</v>
      </c>
      <c r="M3" s="82">
        <f ca="1">RANK($L3,$L$3:$L$7,1) + COUNTIF($L$3:$L3,$L3)-1</f>
        <v>3</v>
      </c>
    </row>
    <row r="4" spans="1:24" hidden="1" outlineLevel="1" x14ac:dyDescent="0.2">
      <c r="A4" s="89">
        <v>2</v>
      </c>
      <c r="B4" s="89" t="str">
        <f t="shared" si="0"/>
        <v>Bogense</v>
      </c>
      <c r="C4" s="82">
        <f t="shared" ref="C4:C7" ca="1" si="6">SUMIF(team1,teams,goals1)+SUMIF(team2,teams,goals2)</f>
        <v>9</v>
      </c>
      <c r="D4" s="82">
        <f t="shared" ref="D4:D7" ca="1" si="7">SUMIF(team1,teams,goals2)+SUMIF(team2,teams,goals1)</f>
        <v>8</v>
      </c>
      <c r="E4" s="90">
        <f t="shared" ca="1" si="3"/>
        <v>6</v>
      </c>
      <c r="F4" s="82">
        <f t="shared" ca="1" si="4"/>
        <v>1</v>
      </c>
      <c r="G4" s="82">
        <f t="shared" ca="1" si="5"/>
        <v>4</v>
      </c>
      <c r="H4" s="91">
        <f t="shared" ref="H4:H7" ca="1" si="8">IF(G4=0,1,0)</f>
        <v>0</v>
      </c>
      <c r="I4" s="91">
        <f ca="1">RANK($E4,$E$3:$E$7,0)</f>
        <v>2</v>
      </c>
      <c r="J4" s="84">
        <f ca="1">RANK($F4,$F$3:$F$7,0)/10</f>
        <v>0.2</v>
      </c>
      <c r="K4" s="85">
        <f ca="1">RANK($C4,$C$3:$C$7,0)/100</f>
        <v>0.04</v>
      </c>
      <c r="L4" s="85">
        <f t="shared" ref="L4:L7" ca="1" si="9">SUM(H4:K4)</f>
        <v>2.2400000000000002</v>
      </c>
      <c r="M4" s="82">
        <f ca="1">RANK($L4,$L$3:$L$7,1) + COUNTIF($L$3:$L4,$L4)-1</f>
        <v>2</v>
      </c>
    </row>
    <row r="5" spans="1:24" hidden="1" outlineLevel="1" x14ac:dyDescent="0.2">
      <c r="A5" s="89">
        <v>3</v>
      </c>
      <c r="B5" s="89" t="str">
        <f t="shared" si="0"/>
        <v>Christiansfelt</v>
      </c>
      <c r="C5" s="82">
        <f t="shared" ca="1" si="6"/>
        <v>15</v>
      </c>
      <c r="D5" s="82">
        <f t="shared" ca="1" si="7"/>
        <v>8</v>
      </c>
      <c r="E5" s="90">
        <f t="shared" ca="1" si="3"/>
        <v>10</v>
      </c>
      <c r="F5" s="82">
        <f t="shared" ca="1" si="4"/>
        <v>7</v>
      </c>
      <c r="G5" s="82">
        <f t="shared" ca="1" si="5"/>
        <v>4</v>
      </c>
      <c r="H5" s="91">
        <f t="shared" ca="1" si="8"/>
        <v>0</v>
      </c>
      <c r="I5" s="91">
        <f ca="1">RANK($E5,$E$3:$E$7,0)</f>
        <v>1</v>
      </c>
      <c r="J5" s="84">
        <f ca="1">RANK($F5,$F$3:$F$7,0)/10</f>
        <v>0.1</v>
      </c>
      <c r="K5" s="85">
        <f ca="1">RANK($C5,$C$3:$C$7,0)/100</f>
        <v>0.01</v>
      </c>
      <c r="L5" s="85">
        <f t="shared" ca="1" si="9"/>
        <v>1.1100000000000001</v>
      </c>
      <c r="M5" s="82">
        <f ca="1">RANK($L5,$L$3:$L$7,1) + COUNTIF($L$3:$L5,$L5)-1</f>
        <v>1</v>
      </c>
    </row>
    <row r="6" spans="1:24" hidden="1" outlineLevel="1" x14ac:dyDescent="0.2">
      <c r="A6" s="89">
        <v>4</v>
      </c>
      <c r="B6" s="89" t="str">
        <f t="shared" si="0"/>
        <v>Dragør</v>
      </c>
      <c r="C6" s="82">
        <f t="shared" ca="1" si="6"/>
        <v>13</v>
      </c>
      <c r="D6" s="82">
        <f t="shared" ca="1" si="7"/>
        <v>17</v>
      </c>
      <c r="E6" s="90">
        <f t="shared" ca="1" si="3"/>
        <v>4</v>
      </c>
      <c r="F6" s="82">
        <f t="shared" ca="1" si="4"/>
        <v>-4</v>
      </c>
      <c r="G6" s="82">
        <f t="shared" ca="1" si="5"/>
        <v>4</v>
      </c>
      <c r="H6" s="91">
        <f t="shared" ca="1" si="8"/>
        <v>0</v>
      </c>
      <c r="I6" s="91">
        <f ca="1">RANK($E6,$E$3:$E$7,0)</f>
        <v>4</v>
      </c>
      <c r="J6" s="84">
        <f ca="1">RANK($F6,$F$3:$F$7,0)/10</f>
        <v>0.5</v>
      </c>
      <c r="K6" s="85">
        <f ca="1">RANK($C6,$C$3:$C$7,0)/100</f>
        <v>0.03</v>
      </c>
      <c r="L6" s="85">
        <f t="shared" ca="1" si="9"/>
        <v>4.53</v>
      </c>
      <c r="M6" s="82">
        <f ca="1">RANK($L6,$L$3:$L$7,1) + COUNTIF($L$3:$L6,$L6)-1</f>
        <v>4</v>
      </c>
    </row>
    <row r="7" spans="1:24" hidden="1" outlineLevel="1" x14ac:dyDescent="0.2">
      <c r="A7" s="89">
        <v>5</v>
      </c>
      <c r="B7" s="89" t="str">
        <f t="shared" si="0"/>
        <v>Ejby</v>
      </c>
      <c r="C7" s="82">
        <f t="shared" ca="1" si="6"/>
        <v>9</v>
      </c>
      <c r="D7" s="82">
        <f t="shared" ca="1" si="7"/>
        <v>12</v>
      </c>
      <c r="E7" s="90">
        <f t="shared" ca="1" si="3"/>
        <v>3</v>
      </c>
      <c r="F7" s="82">
        <f t="shared" ca="1" si="4"/>
        <v>-3</v>
      </c>
      <c r="G7" s="82">
        <f t="shared" ca="1" si="5"/>
        <v>4</v>
      </c>
      <c r="H7" s="91">
        <f t="shared" ca="1" si="8"/>
        <v>0</v>
      </c>
      <c r="I7" s="91">
        <f ca="1">RANK($E7,$E$3:$E$7,0)</f>
        <v>5</v>
      </c>
      <c r="J7" s="84">
        <f ca="1">RANK($F7,$F$3:$F$7,0)/10</f>
        <v>0.4</v>
      </c>
      <c r="K7" s="85">
        <f ca="1">RANK($C7,$C$3:$C$7,0)/100</f>
        <v>0.04</v>
      </c>
      <c r="L7" s="85">
        <f t="shared" ca="1" si="9"/>
        <v>5.44</v>
      </c>
      <c r="M7" s="82">
        <f ca="1">RANK($L7,$L$3:$L$7,1) + COUNTIF($L$3:$L7,$L7)-1</f>
        <v>5</v>
      </c>
    </row>
    <row r="8" spans="1:24" ht="13.2" collapsed="1" thickBot="1" x14ac:dyDescent="0.25">
      <c r="O8"/>
      <c r="P8"/>
      <c r="Q8"/>
      <c r="R8"/>
    </row>
    <row r="9" spans="1:24" s="4" customFormat="1" ht="24" thickBot="1" x14ac:dyDescent="0.5">
      <c r="A9" s="38" t="s">
        <v>88</v>
      </c>
      <c r="B9" s="68">
        <v>6</v>
      </c>
      <c r="C9" s="66"/>
      <c r="D9" s="67" t="s">
        <v>64</v>
      </c>
      <c r="E9" s="68">
        <f>(B9/2)*(B9-1)</f>
        <v>15</v>
      </c>
      <c r="O9" s="69" t="str">
        <f>TurneringsNavn</f>
        <v>Forårsstævne</v>
      </c>
      <c r="P9" s="5"/>
      <c r="Q9" s="5"/>
      <c r="R9" s="5"/>
      <c r="S9" s="5"/>
      <c r="T9" s="5"/>
      <c r="U9" s="5"/>
      <c r="V9" s="5"/>
      <c r="W9" s="5"/>
      <c r="X9" s="5"/>
    </row>
    <row r="10" spans="1:24" ht="6.75" customHeight="1" x14ac:dyDescent="0.2">
      <c r="K10" s="4"/>
      <c r="L10" s="4"/>
      <c r="O10"/>
      <c r="P10"/>
      <c r="Q10"/>
      <c r="R10"/>
    </row>
    <row r="11" spans="1:24" ht="13.8" x14ac:dyDescent="0.25">
      <c r="B11" s="6" t="s">
        <v>65</v>
      </c>
      <c r="C11" s="6" t="s">
        <v>66</v>
      </c>
      <c r="D11" s="6" t="s">
        <v>67</v>
      </c>
      <c r="E11" s="6" t="s">
        <v>68</v>
      </c>
      <c r="F11" s="6" t="s">
        <v>69</v>
      </c>
      <c r="G11" s="7" t="s">
        <v>1</v>
      </c>
      <c r="H11" s="6" t="s">
        <v>2</v>
      </c>
      <c r="I11" s="6" t="s">
        <v>3</v>
      </c>
      <c r="J11" s="6" t="s">
        <v>87</v>
      </c>
      <c r="K11" s="4"/>
      <c r="O11" s="114" t="s">
        <v>114</v>
      </c>
      <c r="P11" s="115" t="s">
        <v>96</v>
      </c>
      <c r="Q11" s="115"/>
      <c r="R11" s="116" t="s">
        <v>4</v>
      </c>
      <c r="S11" s="114" t="s">
        <v>5</v>
      </c>
      <c r="T11" s="114" t="s">
        <v>6</v>
      </c>
      <c r="U11" s="114" t="s">
        <v>7</v>
      </c>
      <c r="V11" s="114" t="s">
        <v>8</v>
      </c>
      <c r="W11" s="114" t="s">
        <v>9</v>
      </c>
      <c r="X11" s="117" t="s">
        <v>97</v>
      </c>
    </row>
    <row r="12" spans="1:24" ht="17.399999999999999" x14ac:dyDescent="0.35">
      <c r="A12" s="6" t="s">
        <v>65</v>
      </c>
      <c r="B12" s="8"/>
      <c r="C12" s="9">
        <v>9</v>
      </c>
      <c r="D12" s="9"/>
      <c r="E12" s="9">
        <v>5</v>
      </c>
      <c r="F12" s="9"/>
      <c r="G12" s="10" t="str">
        <f ca="1">IFERROR(CHOOSE((P12=H$32)*1+(P12=I$32)*2+(P12=H$30)*3,"Guld","Sølv","Bronze"),"")</f>
        <v/>
      </c>
      <c r="H12" s="11">
        <f t="shared" ref="H12:I16" ca="1" si="10">COUNTIF(P$19:P$28,$B3)</f>
        <v>2</v>
      </c>
      <c r="I12" s="11">
        <f t="shared" ca="1" si="10"/>
        <v>2</v>
      </c>
      <c r="J12" s="11">
        <f ca="1">SUM(H12:I12)</f>
        <v>4</v>
      </c>
      <c r="K12" s="4"/>
      <c r="O12" s="105">
        <v>1</v>
      </c>
      <c r="P12" s="106" t="str">
        <f ca="1" xml:space="preserve">  INDEX(teams,MATCH(rankNum,actRank,0))</f>
        <v>Christiansfelt</v>
      </c>
      <c r="Q12" s="106"/>
      <c r="R12" s="113">
        <f t="shared" ref="R12:R16" ca="1" si="11">COUNTIFS(team1,teamName,points1,"&gt;=0")+COUNTIFS(team2,teamName,points2,"&gt;=0")</f>
        <v>4</v>
      </c>
      <c r="S12" s="123">
        <f t="shared" ref="S12:S16" ca="1" si="12">COUNTIFS(team1,teamName,points1,ptv)+COUNTIFS(team2,teamName,points2,ptv)</f>
        <v>3</v>
      </c>
      <c r="T12" s="107">
        <f t="shared" ref="T12:T16" ca="1" si="13">COUNTIFS(team1,teamName,points1,ptu)+COUNTIFS(team2,teamName,points2,ptu)</f>
        <v>1</v>
      </c>
      <c r="U12" s="107">
        <f t="shared" ref="U12:U16" ca="1" si="14">COUNTIFS(team1,teamName,points1,ptt)+COUNTIFS(team2,teamName,points2,ptt)</f>
        <v>0</v>
      </c>
      <c r="V12" s="123">
        <f t="shared" ref="V12:V16" ca="1" si="15">SUMIF(team1,teamName,goals1)+SUMIF(team2,teamName,goals2)</f>
        <v>15</v>
      </c>
      <c r="W12" s="107">
        <f t="shared" ref="W12:W16" ca="1" si="16">SUMIF(team1,teamName,goals2)+SUMIF(team2,teamName,goals1)</f>
        <v>8</v>
      </c>
      <c r="X12" s="124">
        <f t="shared" ref="X12:X16" ca="1" si="17">SUMIFS(points1,team1,teamName)+SUMIFS(points2,team2,teamName)</f>
        <v>10</v>
      </c>
    </row>
    <row r="13" spans="1:24" ht="17.399999999999999" x14ac:dyDescent="0.35">
      <c r="A13" s="6" t="s">
        <v>66</v>
      </c>
      <c r="B13" s="9"/>
      <c r="C13" s="8"/>
      <c r="D13" s="9">
        <v>4</v>
      </c>
      <c r="E13" s="9"/>
      <c r="F13" s="9">
        <v>1</v>
      </c>
      <c r="G13" s="10" t="str">
        <f ca="1">IFERROR(CHOOSE((P13=H$32)*1+(P13=I$32)*2+(P13=H$30)*3,"Guld","Sølv","Bronze"),"")</f>
        <v/>
      </c>
      <c r="H13" s="11">
        <f t="shared" ca="1" si="10"/>
        <v>2</v>
      </c>
      <c r="I13" s="11">
        <f t="shared" ca="1" si="10"/>
        <v>2</v>
      </c>
      <c r="J13" s="11">
        <f ca="1">SUM(H13:I13)</f>
        <v>4</v>
      </c>
      <c r="K13" s="4"/>
      <c r="O13" s="105">
        <v>2</v>
      </c>
      <c r="P13" s="106" t="str">
        <f t="shared" ref="P13:P16" ca="1" si="18" xml:space="preserve">  INDEX(teams,MATCH(rankNum,actRank,0))</f>
        <v>Bogense</v>
      </c>
      <c r="Q13" s="106"/>
      <c r="R13" s="113">
        <f t="shared" ca="1" si="11"/>
        <v>4</v>
      </c>
      <c r="S13" s="123">
        <f t="shared" ca="1" si="12"/>
        <v>2</v>
      </c>
      <c r="T13" s="107">
        <f t="shared" ca="1" si="13"/>
        <v>0</v>
      </c>
      <c r="U13" s="107">
        <f t="shared" ca="1" si="14"/>
        <v>2</v>
      </c>
      <c r="V13" s="123">
        <f t="shared" ca="1" si="15"/>
        <v>9</v>
      </c>
      <c r="W13" s="107">
        <f t="shared" ca="1" si="16"/>
        <v>8</v>
      </c>
      <c r="X13" s="124">
        <f t="shared" ca="1" si="17"/>
        <v>6</v>
      </c>
    </row>
    <row r="14" spans="1:24" ht="17.399999999999999" x14ac:dyDescent="0.35">
      <c r="A14" s="6" t="s">
        <v>67</v>
      </c>
      <c r="B14" s="9">
        <v>7</v>
      </c>
      <c r="C14" s="9"/>
      <c r="D14" s="8"/>
      <c r="E14" s="9">
        <v>2</v>
      </c>
      <c r="F14" s="9"/>
      <c r="G14" s="10" t="str">
        <f ca="1">IFERROR(CHOOSE((P14=H$32)*1+(P14=I$32)*2+(P14=H$30)*3,"Guld","Sølv","Bronze"),"")</f>
        <v/>
      </c>
      <c r="H14" s="11">
        <f t="shared" ca="1" si="10"/>
        <v>2</v>
      </c>
      <c r="I14" s="11">
        <f t="shared" ca="1" si="10"/>
        <v>2</v>
      </c>
      <c r="J14" s="11">
        <f ca="1">SUM(H14:I14)</f>
        <v>4</v>
      </c>
      <c r="K14" s="4"/>
      <c r="O14" s="105">
        <v>3</v>
      </c>
      <c r="P14" s="106" t="str">
        <f t="shared" ca="1" si="18"/>
        <v>Assens</v>
      </c>
      <c r="Q14" s="106"/>
      <c r="R14" s="113">
        <f t="shared" ca="1" si="11"/>
        <v>4</v>
      </c>
      <c r="S14" s="123">
        <f t="shared" ca="1" si="12"/>
        <v>2</v>
      </c>
      <c r="T14" s="107">
        <f t="shared" ca="1" si="13"/>
        <v>0</v>
      </c>
      <c r="U14" s="107">
        <f t="shared" ca="1" si="14"/>
        <v>2</v>
      </c>
      <c r="V14" s="123">
        <f t="shared" ca="1" si="15"/>
        <v>14</v>
      </c>
      <c r="W14" s="107">
        <f t="shared" ca="1" si="16"/>
        <v>15</v>
      </c>
      <c r="X14" s="124">
        <f t="shared" ca="1" si="17"/>
        <v>6</v>
      </c>
    </row>
    <row r="15" spans="1:24" ht="17.399999999999999" x14ac:dyDescent="0.35">
      <c r="A15" s="6" t="s">
        <v>68</v>
      </c>
      <c r="B15" s="9"/>
      <c r="C15" s="9">
        <v>8</v>
      </c>
      <c r="D15" s="9"/>
      <c r="E15" s="8"/>
      <c r="F15" s="9">
        <v>10</v>
      </c>
      <c r="G15" s="10" t="str">
        <f ca="1">IFERROR(CHOOSE((P15=H$32)*1+(P15=I$32)*2+(P15=H$30)*3,"Guld","Sølv","Bronze"),"")</f>
        <v/>
      </c>
      <c r="H15" s="11">
        <f t="shared" ca="1" si="10"/>
        <v>2</v>
      </c>
      <c r="I15" s="11">
        <f t="shared" ca="1" si="10"/>
        <v>2</v>
      </c>
      <c r="J15" s="11">
        <f ca="1">SUM(H15:I15)</f>
        <v>4</v>
      </c>
      <c r="K15" s="4"/>
      <c r="O15" s="105">
        <v>4</v>
      </c>
      <c r="P15" s="106" t="str">
        <f t="shared" ca="1" si="18"/>
        <v>Dragør</v>
      </c>
      <c r="Q15" s="106"/>
      <c r="R15" s="113">
        <f t="shared" ca="1" si="11"/>
        <v>4</v>
      </c>
      <c r="S15" s="123">
        <f t="shared" ca="1" si="12"/>
        <v>1</v>
      </c>
      <c r="T15" s="107">
        <f t="shared" ca="1" si="13"/>
        <v>1</v>
      </c>
      <c r="U15" s="107">
        <f t="shared" ca="1" si="14"/>
        <v>2</v>
      </c>
      <c r="V15" s="123">
        <f t="shared" ca="1" si="15"/>
        <v>13</v>
      </c>
      <c r="W15" s="107">
        <f t="shared" ca="1" si="16"/>
        <v>17</v>
      </c>
      <c r="X15" s="124">
        <f t="shared" ca="1" si="17"/>
        <v>4</v>
      </c>
    </row>
    <row r="16" spans="1:24" ht="17.399999999999999" x14ac:dyDescent="0.35">
      <c r="A16" s="6" t="s">
        <v>69</v>
      </c>
      <c r="B16" s="9">
        <v>3</v>
      </c>
      <c r="C16" s="9"/>
      <c r="D16" s="9">
        <v>6</v>
      </c>
      <c r="E16" s="9"/>
      <c r="F16" s="8"/>
      <c r="G16" s="10" t="str">
        <f ca="1">IFERROR(CHOOSE((P16=H$32)*1+(P16=I$32)*2+(P16=H$30)*3,"Guld","Sølv","Bronze"),"")</f>
        <v/>
      </c>
      <c r="H16" s="11">
        <f t="shared" ca="1" si="10"/>
        <v>2</v>
      </c>
      <c r="I16" s="11">
        <f t="shared" ca="1" si="10"/>
        <v>2</v>
      </c>
      <c r="J16" s="11">
        <f ca="1">SUM(H16:I16)</f>
        <v>4</v>
      </c>
      <c r="K16" s="4"/>
      <c r="O16" s="105">
        <v>5</v>
      </c>
      <c r="P16" s="106" t="str">
        <f t="shared" ca="1" si="18"/>
        <v>Ejby</v>
      </c>
      <c r="Q16" s="106"/>
      <c r="R16" s="113">
        <f t="shared" ca="1" si="11"/>
        <v>4</v>
      </c>
      <c r="S16" s="123">
        <f t="shared" ca="1" si="12"/>
        <v>1</v>
      </c>
      <c r="T16" s="107">
        <f t="shared" ca="1" si="13"/>
        <v>0</v>
      </c>
      <c r="U16" s="107">
        <f t="shared" ca="1" si="14"/>
        <v>3</v>
      </c>
      <c r="V16" s="123">
        <f t="shared" ca="1" si="15"/>
        <v>9</v>
      </c>
      <c r="W16" s="107">
        <f t="shared" ca="1" si="16"/>
        <v>12</v>
      </c>
      <c r="X16" s="124">
        <f t="shared" ca="1" si="17"/>
        <v>3</v>
      </c>
    </row>
    <row r="17" spans="1:24" x14ac:dyDescent="0.2">
      <c r="O17"/>
      <c r="P17"/>
      <c r="Q17"/>
      <c r="R17"/>
    </row>
    <row r="18" spans="1:24" s="12" customFormat="1" ht="15" thickBot="1" x14ac:dyDescent="0.35">
      <c r="C18" s="39" t="s">
        <v>16</v>
      </c>
      <c r="D18" s="40" t="s">
        <v>17</v>
      </c>
      <c r="E18" s="55" t="s">
        <v>18</v>
      </c>
      <c r="F18" s="41" t="s">
        <v>19</v>
      </c>
      <c r="G18" s="41" t="s">
        <v>20</v>
      </c>
      <c r="H18" s="41" t="s">
        <v>21</v>
      </c>
      <c r="I18" s="41" t="s">
        <v>22</v>
      </c>
      <c r="J18" s="42" t="s">
        <v>23</v>
      </c>
      <c r="K18" s="43" t="s">
        <v>24</v>
      </c>
      <c r="L18" s="43"/>
      <c r="O18" s="122" t="s">
        <v>4</v>
      </c>
      <c r="P18" s="121" t="s">
        <v>25</v>
      </c>
      <c r="Q18" s="121" t="s">
        <v>26</v>
      </c>
      <c r="R18" s="151" t="s">
        <v>27</v>
      </c>
      <c r="S18" s="151" t="s">
        <v>28</v>
      </c>
      <c r="T18" s="151" t="s">
        <v>29</v>
      </c>
      <c r="U18" s="152" t="s">
        <v>30</v>
      </c>
      <c r="V18" s="152" t="s">
        <v>30</v>
      </c>
      <c r="W18" s="120" t="s">
        <v>31</v>
      </c>
      <c r="X18" s="120" t="s">
        <v>31</v>
      </c>
    </row>
    <row r="19" spans="1:24" ht="17.399999999999999" x14ac:dyDescent="0.35">
      <c r="A19" s="13"/>
      <c r="B19" s="14"/>
      <c r="C19" s="44" t="s">
        <v>71</v>
      </c>
      <c r="D19" s="45"/>
      <c r="E19" s="44">
        <v>1</v>
      </c>
      <c r="F19" s="46">
        <f t="shared" ref="F19:F28" si="19">SUMPRODUCT((HxA=$E19)*(COLUMN(HxA)))-COLUMN(HxA)+1</f>
        <v>6</v>
      </c>
      <c r="G19" s="46">
        <f t="shared" ref="G19:G28" si="20">SUMPRODUCT((HxA=$E19)*(ROW(HxA)))-ROW(HxA)+1</f>
        <v>3</v>
      </c>
      <c r="H19" s="47" t="str">
        <f t="shared" ref="H19:H28" si="21">INDEX(HxA,G19,1)</f>
        <v>T_02</v>
      </c>
      <c r="I19" s="47" t="str">
        <f t="shared" ref="I19:I28" si="22">INDEX(HxA,1,F19)</f>
        <v>T_05</v>
      </c>
      <c r="J19" s="48"/>
      <c r="K19" s="49">
        <v>43832</v>
      </c>
      <c r="L19" s="65"/>
      <c r="O19" s="157">
        <v>1</v>
      </c>
      <c r="P19" s="157" t="str">
        <f t="shared" ref="P19:Q28" ca="1" si="23">INDIRECT(H19)</f>
        <v>Bogense</v>
      </c>
      <c r="Q19" s="157" t="str">
        <f t="shared" ca="1" si="23"/>
        <v>Ejby</v>
      </c>
      <c r="R19" s="158">
        <v>43832</v>
      </c>
      <c r="S19" s="159" t="s">
        <v>32</v>
      </c>
      <c r="T19" s="160">
        <v>1</v>
      </c>
      <c r="U19" s="161">
        <v>0</v>
      </c>
      <c r="V19" s="162">
        <v>4</v>
      </c>
      <c r="W19" s="163">
        <f t="shared" ref="W19:W28" si="24">IF(ISNUMBER(U19)*ISNUMBER(V19),IF(U19&gt;V19,ptv, IF(U19=V19,ptu,ptt)),"-")</f>
        <v>0</v>
      </c>
      <c r="X19" s="163">
        <f t="shared" ref="X19:X28" si="25">IF(ISNUMBER(U19)*ISNUMBER(V19),IF(W19=ptv,ptt,IF(W19=ptu,ptu,ptv)),"-")</f>
        <v>3</v>
      </c>
    </row>
    <row r="20" spans="1:24" ht="18" thickBot="1" x14ac:dyDescent="0.4">
      <c r="A20" s="13"/>
      <c r="B20" s="14"/>
      <c r="C20" s="50" t="s">
        <v>72</v>
      </c>
      <c r="D20" s="51">
        <f>OR(H20=H19,H20=I19,I20=H19,I20=I19)*1</f>
        <v>0</v>
      </c>
      <c r="E20" s="50">
        <v>2</v>
      </c>
      <c r="F20" s="52">
        <f t="shared" si="19"/>
        <v>5</v>
      </c>
      <c r="G20" s="52">
        <f t="shared" si="20"/>
        <v>4</v>
      </c>
      <c r="H20" s="53" t="str">
        <f t="shared" si="21"/>
        <v>T_03</v>
      </c>
      <c r="I20" s="53" t="str">
        <f t="shared" si="22"/>
        <v>T_04</v>
      </c>
      <c r="J20" s="53">
        <v>0</v>
      </c>
      <c r="K20" s="54">
        <f>$K$19+J20</f>
        <v>43832</v>
      </c>
      <c r="L20" s="65"/>
      <c r="O20" s="110">
        <v>2</v>
      </c>
      <c r="P20" s="110" t="str">
        <f t="shared" ca="1" si="23"/>
        <v>Christiansfelt</v>
      </c>
      <c r="Q20" s="110" t="str">
        <f t="shared" ca="1" si="23"/>
        <v>Dragør</v>
      </c>
      <c r="R20" s="119">
        <v>43832</v>
      </c>
      <c r="S20" s="111" t="str">
        <f>IFERROR(S19+mMin,"-")</f>
        <v>-</v>
      </c>
      <c r="T20" s="129">
        <v>2</v>
      </c>
      <c r="U20" s="130">
        <v>5</v>
      </c>
      <c r="V20" s="131">
        <v>5</v>
      </c>
      <c r="W20" s="112">
        <f t="shared" si="24"/>
        <v>1</v>
      </c>
      <c r="X20" s="112">
        <f t="shared" si="25"/>
        <v>1</v>
      </c>
    </row>
    <row r="21" spans="1:24" ht="18" thickBot="1" x14ac:dyDescent="0.4">
      <c r="A21" s="13"/>
      <c r="B21" s="14"/>
      <c r="C21" s="61" t="s">
        <v>74</v>
      </c>
      <c r="D21" s="60">
        <f t="shared" ref="D21:D28" si="26">OR(H21=H20,H21=I20,I21=H20,I21=I20)*1</f>
        <v>0</v>
      </c>
      <c r="E21" s="61">
        <v>3</v>
      </c>
      <c r="F21" s="62">
        <f t="shared" si="19"/>
        <v>2</v>
      </c>
      <c r="G21" s="62">
        <f t="shared" si="20"/>
        <v>6</v>
      </c>
      <c r="H21" s="63" t="str">
        <f t="shared" si="21"/>
        <v>T_05</v>
      </c>
      <c r="I21" s="63" t="str">
        <f t="shared" si="22"/>
        <v>T_01</v>
      </c>
      <c r="J21" s="63">
        <v>0</v>
      </c>
      <c r="K21" s="64">
        <f t="shared" ref="K21:K32" si="27">$K$19+J21</f>
        <v>43832</v>
      </c>
      <c r="L21" s="65"/>
      <c r="O21" s="164">
        <v>3</v>
      </c>
      <c r="P21" s="164" t="str">
        <f t="shared" ca="1" si="23"/>
        <v>Ejby</v>
      </c>
      <c r="Q21" s="164" t="str">
        <f t="shared" ca="1" si="23"/>
        <v>Assens</v>
      </c>
      <c r="R21" s="165">
        <v>43832</v>
      </c>
      <c r="S21" s="166" t="s">
        <v>32</v>
      </c>
      <c r="T21" s="167">
        <v>1</v>
      </c>
      <c r="U21" s="168">
        <v>3</v>
      </c>
      <c r="V21" s="169">
        <v>5</v>
      </c>
      <c r="W21" s="170">
        <f t="shared" si="24"/>
        <v>0</v>
      </c>
      <c r="X21" s="170">
        <f t="shared" si="25"/>
        <v>3</v>
      </c>
    </row>
    <row r="22" spans="1:24" ht="18" thickBot="1" x14ac:dyDescent="0.4">
      <c r="A22" s="13"/>
      <c r="B22" s="14"/>
      <c r="C22" s="57" t="s">
        <v>73</v>
      </c>
      <c r="D22" s="56">
        <f t="shared" si="26"/>
        <v>0</v>
      </c>
      <c r="E22" s="57">
        <v>4</v>
      </c>
      <c r="F22" s="45">
        <f t="shared" si="19"/>
        <v>4</v>
      </c>
      <c r="G22" s="45">
        <f t="shared" si="20"/>
        <v>3</v>
      </c>
      <c r="H22" s="58" t="str">
        <f t="shared" si="21"/>
        <v>T_02</v>
      </c>
      <c r="I22" s="58" t="str">
        <f t="shared" si="22"/>
        <v>T_03</v>
      </c>
      <c r="J22" s="58">
        <v>1</v>
      </c>
      <c r="K22" s="59">
        <f t="shared" si="27"/>
        <v>43833</v>
      </c>
      <c r="L22" s="65"/>
      <c r="O22" s="110">
        <v>4</v>
      </c>
      <c r="P22" s="110" t="str">
        <f t="shared" ca="1" si="23"/>
        <v>Bogense</v>
      </c>
      <c r="Q22" s="110" t="str">
        <f t="shared" ca="1" si="23"/>
        <v>Christiansfelt</v>
      </c>
      <c r="R22" s="119">
        <v>43833</v>
      </c>
      <c r="S22" s="111" t="str">
        <f>IFERROR(S21+mMin,"-")</f>
        <v>-</v>
      </c>
      <c r="T22" s="129">
        <v>2</v>
      </c>
      <c r="U22" s="130">
        <v>0</v>
      </c>
      <c r="V22" s="131">
        <v>2</v>
      </c>
      <c r="W22" s="112">
        <f t="shared" si="24"/>
        <v>0</v>
      </c>
      <c r="X22" s="112">
        <f t="shared" si="25"/>
        <v>3</v>
      </c>
    </row>
    <row r="23" spans="1:24" ht="17.399999999999999" x14ac:dyDescent="0.35">
      <c r="A23" s="13"/>
      <c r="B23" s="14"/>
      <c r="C23" s="50" t="s">
        <v>75</v>
      </c>
      <c r="D23" s="51">
        <f t="shared" si="26"/>
        <v>0</v>
      </c>
      <c r="E23" s="50">
        <v>5</v>
      </c>
      <c r="F23" s="52">
        <f t="shared" si="19"/>
        <v>5</v>
      </c>
      <c r="G23" s="52">
        <f t="shared" si="20"/>
        <v>2</v>
      </c>
      <c r="H23" s="53" t="str">
        <f t="shared" si="21"/>
        <v>T_01</v>
      </c>
      <c r="I23" s="53" t="str">
        <f t="shared" si="22"/>
        <v>T_04</v>
      </c>
      <c r="J23" s="53">
        <v>1</v>
      </c>
      <c r="K23" s="54">
        <f t="shared" si="27"/>
        <v>43833</v>
      </c>
      <c r="L23" s="65"/>
      <c r="O23" s="164">
        <v>5</v>
      </c>
      <c r="P23" s="164" t="str">
        <f t="shared" ca="1" si="23"/>
        <v>Assens</v>
      </c>
      <c r="Q23" s="164" t="str">
        <f t="shared" ca="1" si="23"/>
        <v>Dragør</v>
      </c>
      <c r="R23" s="165">
        <v>43833</v>
      </c>
      <c r="S23" s="166" t="s">
        <v>32</v>
      </c>
      <c r="T23" s="167">
        <v>1</v>
      </c>
      <c r="U23" s="168">
        <v>5</v>
      </c>
      <c r="V23" s="169">
        <v>3</v>
      </c>
      <c r="W23" s="170">
        <f t="shared" si="24"/>
        <v>3</v>
      </c>
      <c r="X23" s="170">
        <f t="shared" si="25"/>
        <v>0</v>
      </c>
    </row>
    <row r="24" spans="1:24" ht="18" thickBot="1" x14ac:dyDescent="0.4">
      <c r="A24" s="13"/>
      <c r="B24" s="14"/>
      <c r="C24" s="61" t="s">
        <v>76</v>
      </c>
      <c r="D24" s="60">
        <f t="shared" si="26"/>
        <v>0</v>
      </c>
      <c r="E24" s="61">
        <v>6</v>
      </c>
      <c r="F24" s="62">
        <f t="shared" si="19"/>
        <v>4</v>
      </c>
      <c r="G24" s="62">
        <f t="shared" si="20"/>
        <v>6</v>
      </c>
      <c r="H24" s="63" t="str">
        <f t="shared" si="21"/>
        <v>T_05</v>
      </c>
      <c r="I24" s="63" t="str">
        <f t="shared" si="22"/>
        <v>T_03</v>
      </c>
      <c r="J24" s="63">
        <v>1</v>
      </c>
      <c r="K24" s="64">
        <f t="shared" si="27"/>
        <v>43833</v>
      </c>
      <c r="L24" s="65"/>
      <c r="O24" s="110">
        <v>6</v>
      </c>
      <c r="P24" s="110" t="str">
        <f t="shared" ca="1" si="23"/>
        <v>Ejby</v>
      </c>
      <c r="Q24" s="110" t="str">
        <f t="shared" ca="1" si="23"/>
        <v>Christiansfelt</v>
      </c>
      <c r="R24" s="119">
        <v>43833</v>
      </c>
      <c r="S24" s="111" t="str">
        <f>IFERROR(S23+mMin,"-")</f>
        <v>-</v>
      </c>
      <c r="T24" s="129">
        <v>2</v>
      </c>
      <c r="U24" s="130">
        <v>0</v>
      </c>
      <c r="V24" s="131">
        <v>3</v>
      </c>
      <c r="W24" s="112">
        <f t="shared" si="24"/>
        <v>0</v>
      </c>
      <c r="X24" s="112">
        <f t="shared" si="25"/>
        <v>3</v>
      </c>
    </row>
    <row r="25" spans="1:24" ht="17.399999999999999" x14ac:dyDescent="0.35">
      <c r="A25" s="13"/>
      <c r="B25" s="14"/>
      <c r="C25" s="57" t="s">
        <v>77</v>
      </c>
      <c r="D25" s="56">
        <f t="shared" si="26"/>
        <v>1</v>
      </c>
      <c r="E25" s="57">
        <v>7</v>
      </c>
      <c r="F25" s="45">
        <f t="shared" si="19"/>
        <v>2</v>
      </c>
      <c r="G25" s="45">
        <f t="shared" si="20"/>
        <v>4</v>
      </c>
      <c r="H25" s="58" t="str">
        <f t="shared" si="21"/>
        <v>T_03</v>
      </c>
      <c r="I25" s="58" t="str">
        <f t="shared" si="22"/>
        <v>T_01</v>
      </c>
      <c r="J25" s="58">
        <v>2</v>
      </c>
      <c r="K25" s="59">
        <f t="shared" si="27"/>
        <v>43834</v>
      </c>
      <c r="L25" s="65"/>
      <c r="O25" s="164">
        <v>7</v>
      </c>
      <c r="P25" s="164" t="str">
        <f t="shared" ca="1" si="23"/>
        <v>Christiansfelt</v>
      </c>
      <c r="Q25" s="164" t="str">
        <f t="shared" ca="1" si="23"/>
        <v>Assens</v>
      </c>
      <c r="R25" s="165">
        <v>43834</v>
      </c>
      <c r="S25" s="166" t="s">
        <v>32</v>
      </c>
      <c r="T25" s="167">
        <v>1</v>
      </c>
      <c r="U25" s="168">
        <v>5</v>
      </c>
      <c r="V25" s="169">
        <v>3</v>
      </c>
      <c r="W25" s="170">
        <f t="shared" si="24"/>
        <v>3</v>
      </c>
      <c r="X25" s="170">
        <f t="shared" si="25"/>
        <v>0</v>
      </c>
    </row>
    <row r="26" spans="1:24" ht="18" thickBot="1" x14ac:dyDescent="0.4">
      <c r="A26" s="13"/>
      <c r="B26" s="14"/>
      <c r="C26" s="50" t="s">
        <v>78</v>
      </c>
      <c r="D26" s="51">
        <f t="shared" si="26"/>
        <v>0</v>
      </c>
      <c r="E26" s="50">
        <v>8</v>
      </c>
      <c r="F26" s="52">
        <f t="shared" si="19"/>
        <v>3</v>
      </c>
      <c r="G26" s="52">
        <f t="shared" si="20"/>
        <v>5</v>
      </c>
      <c r="H26" s="53" t="str">
        <f t="shared" si="21"/>
        <v>T_04</v>
      </c>
      <c r="I26" s="53" t="str">
        <f t="shared" si="22"/>
        <v>T_02</v>
      </c>
      <c r="J26" s="53">
        <v>2</v>
      </c>
      <c r="K26" s="54">
        <f t="shared" si="27"/>
        <v>43834</v>
      </c>
      <c r="L26" s="65"/>
      <c r="O26" s="110">
        <v>8</v>
      </c>
      <c r="P26" s="110" t="str">
        <f t="shared" ca="1" si="23"/>
        <v>Dragør</v>
      </c>
      <c r="Q26" s="110" t="str">
        <f t="shared" ca="1" si="23"/>
        <v>Bogense</v>
      </c>
      <c r="R26" s="119">
        <v>43834</v>
      </c>
      <c r="S26" s="111" t="str">
        <f>IFERROR(S25+mMin,"-")</f>
        <v>-</v>
      </c>
      <c r="T26" s="129">
        <v>2</v>
      </c>
      <c r="U26" s="130">
        <v>1</v>
      </c>
      <c r="V26" s="131">
        <v>5</v>
      </c>
      <c r="W26" s="112">
        <f t="shared" si="24"/>
        <v>0</v>
      </c>
      <c r="X26" s="112">
        <f t="shared" si="25"/>
        <v>3</v>
      </c>
    </row>
    <row r="27" spans="1:24" ht="18" thickBot="1" x14ac:dyDescent="0.4">
      <c r="A27" s="13"/>
      <c r="B27" s="14"/>
      <c r="C27" s="61" t="s">
        <v>79</v>
      </c>
      <c r="D27" s="60">
        <f t="shared" si="26"/>
        <v>1</v>
      </c>
      <c r="E27" s="61">
        <v>9</v>
      </c>
      <c r="F27" s="62">
        <f t="shared" si="19"/>
        <v>3</v>
      </c>
      <c r="G27" s="62">
        <f t="shared" si="20"/>
        <v>2</v>
      </c>
      <c r="H27" s="63" t="str">
        <f t="shared" si="21"/>
        <v>T_01</v>
      </c>
      <c r="I27" s="63" t="str">
        <f t="shared" si="22"/>
        <v>T_02</v>
      </c>
      <c r="J27" s="63">
        <v>2</v>
      </c>
      <c r="K27" s="64">
        <f t="shared" si="27"/>
        <v>43834</v>
      </c>
      <c r="L27" s="65"/>
      <c r="O27" s="164">
        <v>9</v>
      </c>
      <c r="P27" s="164" t="str">
        <f t="shared" ca="1" si="23"/>
        <v>Assens</v>
      </c>
      <c r="Q27" s="164" t="str">
        <f t="shared" ca="1" si="23"/>
        <v>Bogense</v>
      </c>
      <c r="R27" s="165">
        <v>43834</v>
      </c>
      <c r="S27" s="166" t="s">
        <v>32</v>
      </c>
      <c r="T27" s="167">
        <v>1</v>
      </c>
      <c r="U27" s="168">
        <v>1</v>
      </c>
      <c r="V27" s="169">
        <v>4</v>
      </c>
      <c r="W27" s="170">
        <f t="shared" si="24"/>
        <v>0</v>
      </c>
      <c r="X27" s="170">
        <f t="shared" si="25"/>
        <v>3</v>
      </c>
    </row>
    <row r="28" spans="1:24" ht="18" thickBot="1" x14ac:dyDescent="0.4">
      <c r="A28" s="13"/>
      <c r="B28" s="14"/>
      <c r="C28" s="57" t="s">
        <v>70</v>
      </c>
      <c r="D28" s="56">
        <f t="shared" si="26"/>
        <v>0</v>
      </c>
      <c r="E28" s="57">
        <v>10</v>
      </c>
      <c r="F28" s="45">
        <f t="shared" si="19"/>
        <v>6</v>
      </c>
      <c r="G28" s="45">
        <f t="shared" si="20"/>
        <v>5</v>
      </c>
      <c r="H28" s="58" t="str">
        <f t="shared" si="21"/>
        <v>T_04</v>
      </c>
      <c r="I28" s="58" t="str">
        <f t="shared" si="22"/>
        <v>T_05</v>
      </c>
      <c r="J28" s="58">
        <v>3</v>
      </c>
      <c r="K28" s="59">
        <f t="shared" si="27"/>
        <v>43835</v>
      </c>
      <c r="L28" s="65"/>
      <c r="O28" s="171">
        <v>10</v>
      </c>
      <c r="P28" s="171" t="str">
        <f t="shared" ca="1" si="23"/>
        <v>Dragør</v>
      </c>
      <c r="Q28" s="171" t="str">
        <f t="shared" ca="1" si="23"/>
        <v>Ejby</v>
      </c>
      <c r="R28" s="172">
        <v>43835</v>
      </c>
      <c r="S28" s="173" t="str">
        <f>IFERROR(S27+mMin,"-")</f>
        <v>-</v>
      </c>
      <c r="T28" s="174">
        <v>2</v>
      </c>
      <c r="U28" s="175">
        <v>4</v>
      </c>
      <c r="V28" s="176">
        <v>2</v>
      </c>
      <c r="W28" s="177">
        <f t="shared" si="24"/>
        <v>3</v>
      </c>
      <c r="X28" s="177">
        <f t="shared" si="25"/>
        <v>0</v>
      </c>
    </row>
    <row r="29" spans="1:24" ht="18.600000000000001" thickTop="1" thickBot="1" x14ac:dyDescent="0.4">
      <c r="H29" s="19" t="s">
        <v>33</v>
      </c>
      <c r="I29" s="19" t="s">
        <v>34</v>
      </c>
      <c r="J29" s="15"/>
      <c r="K29" s="17"/>
      <c r="L29" s="65"/>
      <c r="P29" s="79"/>
      <c r="Q29" s="79"/>
      <c r="R29" s="79"/>
      <c r="S29" s="5"/>
      <c r="T29" s="5"/>
      <c r="U29" s="16"/>
      <c r="V29" s="156"/>
    </row>
    <row r="30" spans="1:24" ht="18" thickBot="1" x14ac:dyDescent="0.4">
      <c r="H30" s="20" t="str">
        <f>IF(ISNUMBER(U30),IF(U30&gt;V30,P30,Q30),"")</f>
        <v/>
      </c>
      <c r="I30" s="20" t="str">
        <f>IF(ISNUMBER(U30),IF(H30=P30,Q30,P30),"")</f>
        <v/>
      </c>
      <c r="J30" s="15">
        <v>10</v>
      </c>
      <c r="K30" s="17">
        <f t="shared" si="27"/>
        <v>43842</v>
      </c>
      <c r="L30" s="65"/>
      <c r="O30" s="76" t="s">
        <v>63</v>
      </c>
      <c r="P30" s="77"/>
      <c r="Q30" s="77"/>
      <c r="R30" s="146">
        <v>41660</v>
      </c>
      <c r="S30" s="147">
        <v>0.54166666666666663</v>
      </c>
      <c r="T30" s="148">
        <v>2</v>
      </c>
      <c r="U30" s="149"/>
      <c r="V30" s="150"/>
      <c r="W30" s="21" t="str">
        <f t="shared" ref="W30" si="28">IF(ISNUMBER(U30)*ISNUMBER(V30),IF(U30&gt;V30,ptv, IF(U30=V30,ptu,ptt)),"-")</f>
        <v>-</v>
      </c>
      <c r="X30" s="21" t="str">
        <f t="shared" ref="X30" si="29">IF(ISNUMBER(U30)*ISNUMBER(V30),IF(W30=ptv,ptt,IF(W30=ptu,ptu,ptv)),"-")</f>
        <v>-</v>
      </c>
    </row>
    <row r="31" spans="1:24" ht="15" thickBot="1" x14ac:dyDescent="0.25">
      <c r="H31" s="19" t="s">
        <v>35</v>
      </c>
      <c r="I31" s="19" t="s">
        <v>36</v>
      </c>
      <c r="J31" s="15"/>
      <c r="K31" s="17"/>
      <c r="L31" s="65"/>
      <c r="P31" s="79"/>
      <c r="Q31" s="79"/>
      <c r="R31" s="79"/>
      <c r="S31" s="5"/>
      <c r="T31" s="5"/>
      <c r="U31" s="5"/>
      <c r="V31" s="80"/>
    </row>
    <row r="32" spans="1:24" ht="18" thickBot="1" x14ac:dyDescent="0.4">
      <c r="H32" s="20" t="str">
        <f>IF(ISNUMBER(U32),IF(U32&gt;V32,P32,Q32),"")</f>
        <v/>
      </c>
      <c r="I32" s="20" t="str">
        <f>IF(ISNUMBER(U32),IF(H32=P32,Q32,P32),"")</f>
        <v/>
      </c>
      <c r="J32" s="15">
        <v>11</v>
      </c>
      <c r="K32" s="17">
        <f t="shared" si="27"/>
        <v>43843</v>
      </c>
      <c r="L32" s="65"/>
      <c r="O32" s="75" t="s">
        <v>95</v>
      </c>
      <c r="P32" s="77"/>
      <c r="Q32" s="77"/>
      <c r="R32" s="146">
        <v>41661</v>
      </c>
      <c r="S32" s="147">
        <v>0.54166666666666663</v>
      </c>
      <c r="T32" s="148">
        <v>2</v>
      </c>
      <c r="U32" s="149"/>
      <c r="V32" s="150"/>
      <c r="W32" s="21" t="str">
        <f t="shared" ref="W32" si="30">IF(ISNUMBER(U32)*ISNUMBER(V32),IF(U32&gt;V32,ptv, IF(U32=V32,ptu,ptt)),"-")</f>
        <v>-</v>
      </c>
      <c r="X32" s="21" t="str">
        <f t="shared" ref="X32" si="31">IF(ISNUMBER(U32)*ISNUMBER(V32),IF(W32=ptv,ptt,IF(W32=ptu,ptu,ptv)),"-")</f>
        <v>-</v>
      </c>
    </row>
    <row r="33" spans="12:12" ht="14.4" x14ac:dyDescent="0.2">
      <c r="L33" s="65"/>
    </row>
  </sheetData>
  <sheetProtection sheet="1" objects="1" scenarios="1"/>
  <conditionalFormatting sqref="D20:D21">
    <cfRule type="expression" dxfId="5" priority="4">
      <formula>D20=1</formula>
    </cfRule>
  </conditionalFormatting>
  <conditionalFormatting sqref="D22:D28">
    <cfRule type="expression" dxfId="4" priority="3">
      <formula>D22=1</formula>
    </cfRule>
  </conditionalFormatting>
  <conditionalFormatting sqref="B12:F16">
    <cfRule type="duplicateValues" dxfId="3" priority="5"/>
    <cfRule type="expression" dxfId="2" priority="6">
      <formula>AND(B12&lt;=$E$9,ISNUMBER(B12))</formula>
    </cfRule>
  </conditionalFormatting>
  <conditionalFormatting sqref="L3:L7">
    <cfRule type="duplicateValues" dxfId="1" priority="71"/>
  </conditionalFormatting>
  <conditionalFormatting sqref="M3:M7">
    <cfRule type="duplicateValues" dxfId="0" priority="72"/>
  </conditionalFormatting>
  <dataValidations count="1">
    <dataValidation type="list" allowBlank="1" showInputMessage="1" showErrorMessage="1" sqref="P30:Q30 P32:Q32" xr:uid="{CDBEAFE2-5051-44E5-A663-2E94D75BAB12}">
      <formula1>teams</formula1>
    </dataValidation>
  </dataValidations>
  <printOptions horizontalCentered="1"/>
  <pageMargins left="0.39370078740157483" right="0.39370078740157483" top="0.55118110236220474" bottom="0.62992125984251968" header="0.28999999999999998" footer="0.31496062992125984"/>
  <pageSetup scale="78" orientation="portrait"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105</vt:i4>
      </vt:variant>
    </vt:vector>
  </HeadingPairs>
  <TitlesOfParts>
    <vt:vector size="112" baseType="lpstr">
      <vt:lpstr>Tips</vt:lpstr>
      <vt:lpstr>Indstillinger</vt:lpstr>
      <vt:lpstr>Licens</vt:lpstr>
      <vt:lpstr>03x2</vt:lpstr>
      <vt:lpstr>04x1</vt:lpstr>
      <vt:lpstr>04x2</vt:lpstr>
      <vt:lpstr>05x1</vt:lpstr>
      <vt:lpstr>'03x2'!actRank</vt:lpstr>
      <vt:lpstr>'04x1'!actRank</vt:lpstr>
      <vt:lpstr>'04x2'!actRank</vt:lpstr>
      <vt:lpstr>'05x1'!actRank</vt:lpstr>
      <vt:lpstr>'03x2'!goals1</vt:lpstr>
      <vt:lpstr>'04x1'!goals1</vt:lpstr>
      <vt:lpstr>'04x2'!goals1</vt:lpstr>
      <vt:lpstr>'05x1'!goals1</vt:lpstr>
      <vt:lpstr>'03x2'!goals2</vt:lpstr>
      <vt:lpstr>'04x1'!goals2</vt:lpstr>
      <vt:lpstr>'04x2'!goals2</vt:lpstr>
      <vt:lpstr>'05x1'!goals2</vt:lpstr>
      <vt:lpstr>'03x2'!HxA</vt:lpstr>
      <vt:lpstr>'04x1'!HxA</vt:lpstr>
      <vt:lpstr>'04x2'!HxA</vt:lpstr>
      <vt:lpstr>'05x1'!HxA</vt:lpstr>
      <vt:lpstr>'03x2'!HxH</vt:lpstr>
      <vt:lpstr>'04x1'!HxH</vt:lpstr>
      <vt:lpstr>'04x2'!HxH</vt:lpstr>
      <vt:lpstr>'05x1'!HxH</vt:lpstr>
      <vt:lpstr>'03x2'!iDato</vt:lpstr>
      <vt:lpstr>'04x1'!iDato</vt:lpstr>
      <vt:lpstr>'04x2'!iDato</vt:lpstr>
      <vt:lpstr>'05x1'!iDato</vt:lpstr>
      <vt:lpstr>mMin</vt:lpstr>
      <vt:lpstr>'03x2'!PlaceCalc</vt:lpstr>
      <vt:lpstr>'04x1'!PlaceCalc</vt:lpstr>
      <vt:lpstr>'04x2'!PlaceCalc</vt:lpstr>
      <vt:lpstr>'05x1'!PlaceCalc</vt:lpstr>
      <vt:lpstr>'03x2'!points1</vt:lpstr>
      <vt:lpstr>'04x1'!points1</vt:lpstr>
      <vt:lpstr>'04x2'!points1</vt:lpstr>
      <vt:lpstr>'05x1'!points1</vt:lpstr>
      <vt:lpstr>'03x2'!points2</vt:lpstr>
      <vt:lpstr>'04x1'!points2</vt:lpstr>
      <vt:lpstr>'04x2'!points2</vt:lpstr>
      <vt:lpstr>'05x1'!points2</vt:lpstr>
      <vt:lpstr>'03x2'!pointsTotal</vt:lpstr>
      <vt:lpstr>'04x1'!pointsTotal</vt:lpstr>
      <vt:lpstr>'04x2'!pointsTotal</vt:lpstr>
      <vt:lpstr>'05x1'!pointsTotal</vt:lpstr>
      <vt:lpstr>ptt</vt:lpstr>
      <vt:lpstr>ptu</vt:lpstr>
      <vt:lpstr>ptv</vt:lpstr>
      <vt:lpstr>'03x2'!rankNum</vt:lpstr>
      <vt:lpstr>'04x1'!rankNum</vt:lpstr>
      <vt:lpstr>'04x2'!rankNum</vt:lpstr>
      <vt:lpstr>'05x1'!rankNum</vt:lpstr>
      <vt:lpstr>'03x2'!T_01</vt:lpstr>
      <vt:lpstr>'04x1'!T_01</vt:lpstr>
      <vt:lpstr>'04x2'!T_01</vt:lpstr>
      <vt:lpstr>'05x1'!T_01</vt:lpstr>
      <vt:lpstr>'03x2'!T_02</vt:lpstr>
      <vt:lpstr>'04x1'!T_02</vt:lpstr>
      <vt:lpstr>'04x2'!T_02</vt:lpstr>
      <vt:lpstr>'05x1'!T_02</vt:lpstr>
      <vt:lpstr>'03x2'!T_03</vt:lpstr>
      <vt:lpstr>'04x1'!T_03</vt:lpstr>
      <vt:lpstr>'04x2'!T_03</vt:lpstr>
      <vt:lpstr>'05x1'!T_03</vt:lpstr>
      <vt:lpstr>'04x1'!T_04</vt:lpstr>
      <vt:lpstr>'04x2'!T_04</vt:lpstr>
      <vt:lpstr>'05x1'!T_04</vt:lpstr>
      <vt:lpstr>'05x1'!T_05</vt:lpstr>
      <vt:lpstr>'03x2'!T_1</vt:lpstr>
      <vt:lpstr>'04x1'!T_1</vt:lpstr>
      <vt:lpstr>'04x2'!T_1</vt:lpstr>
      <vt:lpstr>'05x1'!T_1</vt:lpstr>
      <vt:lpstr>'03x2'!T_2</vt:lpstr>
      <vt:lpstr>'04x1'!T_2</vt:lpstr>
      <vt:lpstr>'04x2'!T_2</vt:lpstr>
      <vt:lpstr>'05x1'!T_2</vt:lpstr>
      <vt:lpstr>'03x2'!T_3</vt:lpstr>
      <vt:lpstr>'04x1'!T_3</vt:lpstr>
      <vt:lpstr>'04x2'!T_3</vt:lpstr>
      <vt:lpstr>'05x1'!T_3</vt:lpstr>
      <vt:lpstr>'04x1'!T_4</vt:lpstr>
      <vt:lpstr>'04x2'!T_4</vt:lpstr>
      <vt:lpstr>'05x1'!T_4</vt:lpstr>
      <vt:lpstr>'05x1'!T_5</vt:lpstr>
      <vt:lpstr>'03x2'!team1</vt:lpstr>
      <vt:lpstr>'04x1'!team1</vt:lpstr>
      <vt:lpstr>'04x2'!team1</vt:lpstr>
      <vt:lpstr>'05x1'!team1</vt:lpstr>
      <vt:lpstr>'03x2'!team2</vt:lpstr>
      <vt:lpstr>'04x1'!team2</vt:lpstr>
      <vt:lpstr>'04x2'!team2</vt:lpstr>
      <vt:lpstr>'05x1'!team2</vt:lpstr>
      <vt:lpstr>'03x2'!teamName</vt:lpstr>
      <vt:lpstr>'04x1'!teamName</vt:lpstr>
      <vt:lpstr>'04x2'!teamName</vt:lpstr>
      <vt:lpstr>'05x1'!teamName</vt:lpstr>
      <vt:lpstr>'03x2'!teams</vt:lpstr>
      <vt:lpstr>'04x1'!teams</vt:lpstr>
      <vt:lpstr>'04x2'!teams</vt:lpstr>
      <vt:lpstr>'05x1'!teams</vt:lpstr>
      <vt:lpstr>TurneringsNavn</vt:lpstr>
      <vt:lpstr>'03x2'!Udskriftsområde</vt:lpstr>
      <vt:lpstr>'04x1'!Udskriftsområde</vt:lpstr>
      <vt:lpstr>'04x2'!Udskriftsområde</vt:lpstr>
      <vt:lpstr>'05x1'!Udskriftsområde</vt:lpstr>
      <vt:lpstr>Licens!Udskriftsområde</vt:lpstr>
      <vt:lpstr>Tips!Udskriftsområde</vt:lpstr>
      <vt:lpstr>Licens!Udskriftstitler</vt:lpstr>
      <vt:lpstr>xTeams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 Elting</dc:creator>
  <cp:lastModifiedBy>Bent Elting</cp:lastModifiedBy>
  <cp:lastPrinted>2019-10-02T18:24:11Z</cp:lastPrinted>
  <dcterms:created xsi:type="dcterms:W3CDTF">2016-02-01T16:36:49Z</dcterms:created>
  <dcterms:modified xsi:type="dcterms:W3CDTF">2020-03-02T11:32:45Z</dcterms:modified>
</cp:coreProperties>
</file>